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C00220D-8EEF-49FA-A452-6A10340B47D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9" i="18"/>
  <c r="V49" i="18"/>
  <c r="U49" i="18"/>
  <c r="T49" i="18"/>
  <c r="S49" i="18"/>
  <c r="R49" i="18"/>
  <c r="Q49" i="18"/>
  <c r="P49" i="18"/>
  <c r="O49" i="18"/>
  <c r="N49" i="18"/>
  <c r="M49" i="18"/>
  <c r="W48" i="18"/>
  <c r="V48" i="18"/>
  <c r="U48" i="18"/>
  <c r="T48" i="18"/>
  <c r="S48" i="18"/>
  <c r="R48" i="18"/>
  <c r="Q48" i="18"/>
  <c r="P48" i="18"/>
  <c r="O48" i="18"/>
  <c r="N48" i="18"/>
  <c r="M48" i="18"/>
  <c r="W47" i="18"/>
  <c r="V47" i="18"/>
  <c r="U47" i="18"/>
  <c r="T47" i="18"/>
  <c r="S47" i="18"/>
  <c r="R47" i="18"/>
  <c r="Q47" i="18"/>
  <c r="P47" i="18"/>
  <c r="O47" i="18"/>
  <c r="N47" i="18"/>
  <c r="M47" i="18"/>
  <c r="W46" i="18"/>
  <c r="H9" i="18"/>
  <c r="V46" i="18"/>
  <c r="U46" i="18"/>
  <c r="T46" i="18"/>
  <c r="I9" i="18"/>
  <c r="S46" i="18"/>
  <c r="E9" i="18"/>
  <c r="R46" i="18"/>
  <c r="Q46" i="18"/>
  <c r="P46" i="18"/>
  <c r="C9" i="18"/>
  <c r="O46" i="18"/>
  <c r="N46" i="18"/>
  <c r="B9" i="18"/>
  <c r="M46"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B17" i="18"/>
  <c r="N39" i="18"/>
  <c r="B8" i="18"/>
  <c r="M39" i="18"/>
  <c r="G22" i="18"/>
  <c r="F22" i="18"/>
  <c r="E22" i="18"/>
  <c r="D22" i="18"/>
  <c r="C22" i="18"/>
  <c r="L20" i="18"/>
  <c r="D20" i="18"/>
  <c r="G12" i="18"/>
  <c r="F12" i="18"/>
  <c r="E12" i="18"/>
  <c r="D12" i="18"/>
  <c r="C12" i="18"/>
  <c r="L10" i="18"/>
  <c r="K10" i="18"/>
  <c r="D10" i="18"/>
  <c r="B6" i="18"/>
  <c r="B5" i="18"/>
  <c r="B4" i="18"/>
  <c r="J9" i="18"/>
  <c r="O9" i="18"/>
  <c r="B55" i="18"/>
  <c r="I59" i="18"/>
  <c r="H17" i="18"/>
  <c r="H20" i="18"/>
  <c r="B20" i="18"/>
  <c r="C55" i="18"/>
  <c r="E58" i="18"/>
  <c r="E8" i="18"/>
  <c r="E10" i="18"/>
  <c r="O18" i="18"/>
  <c r="G20" i="18"/>
  <c r="K20" i="18"/>
  <c r="B10" i="18"/>
  <c r="O19" i="18"/>
  <c r="N6" i="17"/>
  <c r="B59" i="18"/>
  <c r="C17" i="18"/>
  <c r="C20" i="18"/>
  <c r="C59" i="18"/>
  <c r="H59" i="18"/>
  <c r="D59" i="18"/>
  <c r="J17" i="18"/>
  <c r="J20" i="18"/>
  <c r="F59" i="18"/>
  <c r="E59" i="18"/>
  <c r="E17" i="18"/>
  <c r="E20" i="18"/>
  <c r="G59" i="18"/>
  <c r="I17" i="18"/>
  <c r="I20" i="18"/>
  <c r="I58" i="18"/>
  <c r="H8" i="18"/>
  <c r="H10" i="18"/>
  <c r="G58" i="18"/>
  <c r="F58" i="18"/>
  <c r="I8" i="18"/>
  <c r="I10" i="18"/>
  <c r="D58" i="18"/>
  <c r="C58" i="18"/>
  <c r="B58" i="18"/>
  <c r="C8" i="18"/>
  <c r="C10" i="18"/>
  <c r="H5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<sst xmlns="http://schemas.openxmlformats.org/spreadsheetml/2006/main" count="2501" uniqueCount="916">
  <si>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</si>
  <si>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</si>
  <si>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</si>
  <si>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</si>
  <si>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</si>
  <si>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</si>
  <si>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</si>
  <si>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</si>
  <si>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</si>
  <si>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</si>
  <si>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</si>
  <si>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</si>
  <si>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</si>
  <si>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</si>
  <si>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</si>
  <si>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</si>
  <si>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</si>
  <si>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</si>
  <si>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</si>
  <si>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</si>
  <si>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</si>
  <si>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</si>
  <si>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</si>
  <si>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</si>
  <si>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</si>
  <si>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</si>
  <si>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</si>
  <si>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</si>
  <si>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</si>
  <si>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</si>
  <si>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</si>
  <si>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</si>
  <si>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</si>
  <si>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</si>
  <si>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</si>
  <si>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</si>
  <si>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</si>
  <si>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</si>
  <si>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</si>
  <si>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</si>
  <si>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</si>
  <si>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</si>
  <si>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</si>
  <si>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</si>
  <si>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</si>
  <si>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</si>
  <si>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</si>
  <si>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</si>
  <si>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</si>
  <si>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</si>
  <si>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</si>
  <si>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</si>
  <si>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</si>
  <si>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</si>
  <si>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</si>
  <si>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</si>
  <si>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</si>
  <si>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</si>
  <si>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</si>
  <si>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</si>
  <si>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</si>
  <si>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</si>
  <si>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</si>
  <si>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</si>
  <si>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</si>
  <si>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</si>
  <si>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</si>
  <si>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</si>
  <si>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</si>
  <si>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</si>
  <si>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</si>
  <si>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</si>
  <si>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</si>
  <si>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</si>
  <si>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</si>
  <si>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</si>
  <si>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</si>
  <si>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</si>
  <si>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</si>
  <si>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</si>
  <si>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</si>
  <si>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</si>
  <si>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</si>
  <si>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</si>
  <si>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</si>
  <si>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</si>
  <si>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</si>
  <si>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</si>
  <si>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</si>
  <si>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</si>
  <si>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</si>
  <si>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</si>
  <si>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</si>
  <si>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</si>
  <si>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</si>
  <si>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</si>
  <si>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</si>
  <si>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</si>
  <si>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</si>
  <si>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</si>
  <si>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</si>
  <si>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</si>
  <si>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</si>
  <si>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</si>
  <si>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</si>
  <si>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</si>
  <si>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</si>
  <si>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</si>
  <si>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</si>
  <si>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</si>
  <si>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</si>
  <si>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</si>
  <si>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</si>
  <si>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</si>
  <si>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</si>
  <si>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</si>
  <si>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</si>
  <si>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</si>
  <si>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</si>
  <si>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</si>
  <si>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</si>
  <si>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</si>
  <si>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</si>
  <si>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</si>
  <si>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</si>
  <si>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</si>
  <si>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</si>
  <si>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</si>
  <si>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</si>
  <si>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</si>
  <si>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</si>
  <si>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</si>
  <si>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</si>
  <si>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</si>
  <si>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</si>
  <si>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</si>
  <si>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</si>
  <si>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</si>
  <si>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</si>
  <si>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</si>
  <si>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</si>
  <si>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</si>
  <si>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</si>
  <si>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</si>
  <si>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</si>
  <si>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</si>
  <si>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</si>
  <si>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</si>
  <si>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</si>
  <si>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</si>
  <si>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</si>
  <si>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</si>
  <si>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</si>
  <si>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</si>
  <si>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</si>
  <si>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</si>
  <si>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</si>
  <si>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</si>
  <si>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</si>
  <si>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</si>
  <si>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</si>
  <si>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</si>
  <si>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</si>
  <si>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</si>
  <si>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</si>
  <si>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</si>
  <si>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</si>
  <si>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</si>
  <si>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</si>
  <si>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</si>
  <si>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</si>
  <si>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</si>
  <si>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</si>
  <si>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</si>
  <si>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</si>
  <si>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</si>
  <si>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</si>
  <si>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</si>
  <si>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</si>
  <si>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</si>
  <si>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</si>
  <si>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</si>
  <si>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</si>
  <si>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</si>
  <si>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</si>
  <si>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</si>
  <si>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</si>
  <si>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</si>
  <si>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</si>
  <si>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</si>
  <si>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</si>
  <si>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</si>
  <si>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</si>
  <si>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</si>
  <si>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</si>
  <si>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</si>
  <si>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</si>
  <si>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</si>
  <si>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</si>
  <si>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</si>
  <si>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</si>
  <si>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</si>
  <si>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</si>
  <si>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</si>
  <si>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</si>
  <si>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</si>
  <si>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</si>
  <si>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</si>
  <si>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</si>
  <si>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</si>
  <si>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</si>
  <si>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</si>
  <si>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</si>
  <si>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</si>
  <si>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</si>
  <si>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</si>
  <si>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</si>
  <si>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</si>
  <si>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</si>
  <si>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</si>
  <si>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</si>
  <si>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</si>
  <si>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</si>
  <si>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</si>
  <si>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</si>
  <si>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</si>
  <si>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</si>
  <si>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</si>
  <si>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</si>
  <si>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</si>
  <si>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</si>
  <si>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</si>
  <si>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</si>
  <si>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</si>
  <si>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</si>
  <si>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</si>
  <si>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</si>
  <si>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</si>
  <si>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</si>
  <si>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</si>
  <si>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</si>
  <si>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</si>
  <si>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</si>
  <si>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</si>
  <si>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</si>
  <si>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</si>
  <si>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</si>
  <si>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</si>
  <si>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</si>
  <si>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</si>
  <si>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</si>
  <si>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</si>
  <si>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</si>
  <si>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</si>
  <si>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</si>
  <si>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</si>
  <si>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</si>
  <si>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</si>
  <si>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</si>
  <si>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</si>
  <si>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</si>
  <si>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</si>
  <si>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</si>
  <si>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</si>
  <si>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</si>
  <si>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</si>
  <si>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</si>
  <si>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</si>
  <si>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</si>
  <si>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</si>
  <si>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</si>
  <si>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</si>
  <si>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</si>
  <si>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</si>
  <si>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</si>
  <si>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</si>
  <si>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</si>
  <si>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</si>
  <si>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</si>
  <si>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</si>
  <si>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</si>
  <si>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</si>
  <si>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</si>
  <si>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</si>
  <si>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</si>
  <si>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</si>
  <si>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</si>
  <si>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</si>
  <si>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</si>
  <si>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</si>
  <si>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</si>
  <si>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</si>
  <si>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</si>
  <si>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</si>
  <si>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</si>
  <si>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</si>
  <si>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</si>
  <si>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</si>
  <si>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</si>
  <si>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</si>
  <si>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</si>
  <si>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</si>
  <si>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</si>
  <si>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</si>
  <si>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</si>
  <si>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</si>
  <si>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</si>
  <si>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</si>
  <si>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</si>
  <si>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</si>
  <si>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</si>
  <si>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</si>
  <si>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</si>
  <si>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</si>
  <si>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</si>
  <si>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</si>
  <si>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</si>
  <si>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</si>
  <si>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</si>
  <si>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</si>
  <si>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</si>
  <si>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</si>
  <si>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</si>
  <si>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</si>
  <si>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</si>
  <si>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</si>
  <si>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</si>
  <si>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</si>
  <si>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</si>
  <si>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</si>
  <si>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</si>
  <si>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</si>
  <si>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</si>
  <si>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</si>
  <si>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</si>
  <si>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</si>
  <si>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</si>
  <si>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</si>
  <si>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</si>
  <si>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</si>
  <si>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</si>
  <si>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</si>
  <si>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</si>
  <si>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</si>
  <si>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</si>
  <si>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</si>
  <si>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</si>
  <si>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</si>
  <si>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</si>
  <si>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</si>
  <si>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</si>
  <si>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</si>
  <si>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</si>
  <si>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</si>
  <si>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</si>
  <si>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</si>
  <si>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</si>
  <si>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</si>
  <si>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</si>
  <si>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</si>
  <si>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</si>
  <si>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</si>
  <si>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</si>
  <si>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</si>
  <si>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</si>
  <si>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</si>
  <si>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</si>
  <si>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</si>
  <si>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</si>
  <si>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</si>
  <si>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</si>
  <si>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</si>
  <si>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</si>
  <si>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</si>
  <si>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</si>
  <si>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</si>
  <si>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</si>
  <si>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</si>
  <si>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</si>
  <si>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</si>
  <si>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</si>
  <si>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</si>
  <si>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</si>
  <si>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</si>
  <si>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</si>
  <si>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</si>
  <si>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</si>
  <si>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</si>
  <si>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</si>
  <si>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</si>
  <si>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</si>
  <si>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</si>
  <si>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</si>
  <si>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</si>
  <si>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</si>
  <si>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</si>
  <si>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</si>
  <si>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</si>
  <si>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</si>
  <si>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</si>
  <si>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</si>
  <si>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</si>
  <si>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</si>
  <si>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</si>
  <si>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</si>
  <si>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</si>
  <si>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</si>
  <si>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</si>
  <si>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</si>
  <si>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</si>
  <si>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</si>
  <si>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</si>
  <si>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</si>
  <si>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</si>
  <si>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</si>
  <si>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</si>
  <si>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</si>
  <si>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</si>
  <si>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</si>
  <si>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</si>
  <si>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</si>
  <si>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</si>
  <si>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</si>
  <si>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</si>
  <si>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</si>
  <si>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</si>
  <si>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</si>
  <si>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</si>
  <si>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</si>
  <si>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</si>
  <si>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</si>
  <si>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</si>
  <si>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</si>
  <si>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</si>
  <si>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</si>
  <si>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</si>
  <si>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</si>
  <si>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</si>
  <si>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</si>
  <si>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</si>
  <si>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</si>
  <si>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</si>
  <si>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</si>
  <si>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</si>
  <si>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</si>
  <si>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</si>
  <si>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</si>
  <si>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</si>
  <si>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</si>
  <si>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</si>
  <si>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</si>
  <si>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</si>
  <si>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</si>
  <si>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</si>
  <si>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</si>
  <si>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</si>
  <si>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</si>
  <si>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</si>
  <si>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</si>
  <si>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</si>
  <si>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</si>
  <si>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</si>
  <si>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</si>
  <si>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</si>
  <si>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</si>
  <si>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</si>
  <si>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</si>
  <si>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</si>
  <si>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</si>
  <si>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</si>
  <si>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</si>
  <si>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</si>
  <si>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</si>
  <si>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</si>
  <si>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</si>
  <si>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</si>
  <si>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</si>
  <si>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</si>
  <si>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</si>
  <si>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</si>
  <si>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</si>
  <si>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</si>
  <si>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</si>
  <si>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</si>
  <si>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</si>
  <si>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</si>
  <si>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</si>
  <si>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</si>
  <si>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</si>
  <si>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</si>
  <si>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</si>
  <si>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</si>
  <si>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</si>
  <si>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</si>
  <si>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</si>
  <si>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</si>
  <si>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</si>
  <si>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</si>
  <si>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</si>
  <si>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</si>
  <si>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</si>
  <si>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</si>
  <si>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</si>
  <si>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</si>
  <si>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</si>
  <si>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</si>
  <si>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</si>
  <si>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</si>
  <si>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</si>
  <si>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</si>
  <si>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</si>
  <si>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</si>
  <si>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</si>
  <si>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</si>
  <si>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</si>
  <si>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</si>
  <si>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</si>
  <si>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</si>
  <si>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</si>
  <si>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</si>
  <si>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</si>
  <si>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</si>
  <si>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</si>
  <si>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</si>
  <si>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</si>
  <si>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</si>
  <si>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</si>
  <si>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</si>
  <si>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</si>
  <si>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</si>
  <si>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</si>
  <si>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</si>
  <si>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</si>
  <si>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</si>
  <si>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</si>
  <si>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</si>
  <si>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</si>
  <si>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</si>
  <si>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</si>
  <si>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</si>
  <si>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</si>
  <si>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</si>
  <si>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</si>
  <si>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</si>
  <si>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</si>
  <si>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</si>
  <si>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</si>
  <si>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</si>
  <si>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</si>
  <si>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</si>
  <si>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</si>
  <si>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</si>
  <si>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</si>
  <si>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</si>
  <si>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</si>
  <si>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</si>
  <si>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</si>
  <si>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</si>
  <si>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</si>
  <si>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</si>
  <si>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</si>
  <si>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</si>
  <si>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</si>
  <si>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</si>
  <si>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</si>
  <si>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</si>
  <si>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</si>
  <si>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</si>
  <si>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</si>
  <si>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</si>
  <si>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</si>
  <si>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</si>
  <si>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</si>
  <si>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</si>
  <si>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</si>
  <si>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</si>
  <si>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</si>
  <si>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</si>
  <si>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</si>
  <si>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</si>
  <si>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</si>
  <si>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</si>
  <si>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</si>
  <si>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</si>
  <si>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</si>
  <si>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</si>
  <si>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</si>
  <si>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</si>
  <si>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</si>
  <si>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</si>
  <si>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</si>
  <si>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</si>
  <si>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</si>
  <si>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</si>
  <si>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</si>
  <si>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</si>
  <si>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</si>
  <si>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</si>
  <si>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</si>
  <si>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</si>
  <si>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</si>
  <si>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</si>
  <si>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</si>
  <si>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</si>
  <si>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</si>
  <si>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</si>
  <si>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</si>
  <si>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</si>
  <si>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</si>
  <si>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</si>
  <si>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</si>
  <si>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</si>
  <si>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</si>
  <si>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</si>
  <si>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</si>
  <si>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</si>
  <si>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</si>
  <si>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</si>
  <si>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</si>
  <si>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</si>
  <si>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</si>
  <si>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</si>
  <si>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</si>
  <si>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</si>
  <si>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</si>
  <si>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</si>
  <si>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</si>
  <si>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</si>
  <si>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</si>
  <si>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</si>
  <si>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</si>
  <si>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</si>
  <si>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</si>
  <si>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</si>
  <si>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</si>
  <si>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</si>
  <si>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</si>
  <si>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</si>
  <si>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</si>
  <si>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</si>
  <si>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</si>
  <si>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</si>
  <si>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</si>
  <si>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</si>
  <si>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</si>
  <si>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</si>
  <si>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</si>
  <si>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</si>
  <si>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</si>
  <si>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</si>
  <si>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</si>
  <si>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</si>
  <si>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</si>
  <si>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</si>
  <si>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</si>
  <si>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</si>
  <si>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</si>
  <si>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</si>
  <si>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</si>
  <si>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</si>
  <si>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</si>
  <si>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</si>
  <si>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</si>
  <si>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</si>
  <si>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</si>
  <si>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</si>
  <si>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</si>
  <si>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</si>
  <si>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</si>
  <si>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</si>
  <si>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</si>
  <si>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</si>
  <si>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</si>
  <si>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</si>
  <si>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</si>
  <si>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</si>
  <si>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</si>
  <si>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</si>
  <si>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</si>
  <si>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</si>
  <si>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</si>
  <si>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</si>
  <si>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</si>
  <si>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</si>
  <si>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</si>
  <si>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</si>
  <si>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</si>
  <si>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</si>
  <si>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</si>
  <si>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</si>
  <si>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</si>
  <si>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</si>
  <si>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</si>
  <si>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</si>
  <si>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</si>
  <si>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</si>
  <si>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</si>
  <si>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</si>
  <si>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</si>
  <si>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</si>
  <si>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</si>
  <si>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</si>
  <si>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</si>
  <si>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</si>
  <si>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</si>
  <si>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</si>
  <si>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</si>
  <si>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</si>
  <si>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</si>
  <si>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</si>
  <si>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</si>
  <si>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</si>
  <si>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</si>
  <si>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</si>
  <si>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</si>
  <si>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</si>
  <si>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</si>
  <si>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</si>
  <si>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</si>
  <si>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</si>
  <si>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</si>
  <si>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</si>
  <si>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</si>
  <si>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</si>
  <si>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</si>
  <si>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</si>
  <si>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</si>
  <si>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</si>
  <si>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</si>
  <si>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</si>
  <si>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</si>
  <si>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</si>
  <si>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</si>
  <si>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</si>
  <si>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</si>
  <si>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</si>
  <si>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</si>
  <si>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</si>
  <si>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</si>
  <si>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</si>
  <si>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</si>
  <si>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</si>
  <si>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</si>
  <si>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</si>
  <si>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</si>
  <si>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</si>
  <si>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</si>
  <si>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</si>
  <si>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</si>
  <si>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</si>
  <si>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</si>
  <si>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</si>
  <si>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</si>
  <si>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</si>
  <si>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</si>
  <si>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</si>
  <si>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</si>
  <si>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</si>
  <si>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</si>
  <si>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</si>
  <si>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</si>
  <si>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</si>
  <si>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</si>
  <si>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</si>
  <si>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</si>
  <si>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</si>
  <si>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</si>
  <si>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</si>
  <si>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</si>
  <si>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</si>
  <si>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</si>
  <si>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</si>
  <si>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</si>
  <si>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</si>
  <si>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</si>
  <si>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</si>
  <si>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</si>
  <si>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</si>
  <si>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</si>
  <si>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</si>
  <si>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</si>
  <si>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</si>
  <si>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</si>
  <si>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</si>
  <si>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</si>
  <si>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</si>
  <si>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</si>
  <si>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</si>
  <si>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</si>
  <si>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</si>
  <si>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</si>
  <si>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</si>
  <si>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</si>
  <si>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</si>
  <si>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</si>
  <si>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</si>
  <si>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</si>
  <si>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</si>
  <si>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</si>
  <si>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</si>
  <si>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</si>
  <si>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</si>
  <si>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</si>
  <si>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</si>
  <si>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</si>
  <si>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</si>
  <si>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</si>
  <si>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</si>
  <si>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</si>
  <si>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</si>
  <si>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</si>
  <si>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</si>
  <si>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</si>
  <si>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</si>
  <si>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</si>
  <si>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</si>
  <si>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</si>
  <si>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</si>
  <si>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</si>
  <si>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</si>
  <si>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</si>
  <si>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</si>
  <si>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</si>
  <si>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</si>
  <si>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</si>
  <si>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</si>
  <si>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</si>
  <si>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</si>
  <si>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</si>
  <si>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</si>
  <si>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</si>
  <si>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</si>
  <si>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</si>
  <si>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</si>
  <si>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</si>
  <si>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</si>
  <si>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</si>
  <si>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</si>
  <si>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</si>
  <si>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</si>
  <si>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</si>
  <si>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</si>
  <si>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</si>
  <si>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</si>
  <si>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</si>
  <si>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</si>
  <si>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</si>
  <si>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</si>
  <si>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</si>
  <si>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</si>
  <si>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</si>
  <si>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</si>
  <si>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</si>
  <si>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</si>
  <si>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</si>
  <si>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</si>
  <si>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</si>
  <si>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</si>
  <si>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</si>
  <si>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</si>
  <si>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</si>
  <si>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</si>
  <si>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</si>
  <si>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</si>
  <si>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</si>
  <si>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</si>
  <si>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</si>
  <si>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</si>
  <si>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</si>
  <si>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</si>
  <si>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</si>
  <si>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</si>
  <si>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</si>
  <si>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</si>
  <si>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</si>
  <si>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</si>
  <si>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</si>
  <si>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</si>
  <si>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</si>
  <si>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</si>
  <si>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</si>
  <si>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</si>
  <si>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</si>
  <si>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</si>
  <si>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</si>
  <si>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</si>
  <si>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</si>
  <si>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</si>
  <si>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</si>
  <si>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</si>
  <si>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</si>
  <si>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</si>
  <si>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</si>
  <si>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</si>
  <si>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</si>
  <si>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</si>
  <si>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</si>
  <si>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</si>
  <si>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</si>
  <si>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</si>
  <si>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</si>
  <si>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</si>
  <si>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13014</t>
  </si>
  <si>
    <t>HOOGSTRATEN</t>
  </si>
  <si>
    <t>Cultuurgrond (ha)</t>
  </si>
  <si>
    <t>Paarden&amp;pony's 200 - 600 kg</t>
  </si>
  <si>
    <t>Paarden&amp;pony's &lt; 200 kg</t>
  </si>
  <si>
    <t>vloeibaar gas (MWh)</t>
  </si>
  <si>
    <t>interne verbrandingsmotor</t>
  </si>
  <si>
    <t>WKK interne verbrandinsgmotor (gas)</t>
  </si>
  <si>
    <t>IVEKA</t>
  </si>
  <si>
    <t>WKK interne verbrandinsgmotor (vloeibaar)</t>
  </si>
  <si>
    <t>eilandwerking</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</si>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</sst>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3659A79-B870-4A08-90ED-A51B41D90B2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208170.03521299691</c:v>
                </c:pt>
                <c:pt idx="1">
                  <c:v>121696.55356446085</c:v>
                </c:pt>
                <c:pt idx="2">
                  <c:v>1439.3689999999999</c:v>
                </c:pt>
                <c:pt idx="3">
                  <c:v>202832.24017443293</c:v>
                </c:pt>
                <c:pt idx="4">
                  <c:v>188928.9677272565</c:v>
                </c:pt>
                <c:pt idx="5">
                  <c:v>310372.69129463064</c:v>
                </c:pt>
                <c:pt idx="6">
                  <c:v>1878.2913602497254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208170.03521299691</c:v>
                </c:pt>
                <c:pt idx="1">
                  <c:v>121696.55356446085</c:v>
                </c:pt>
                <c:pt idx="2">
                  <c:v>1439.3689999999999</c:v>
                </c:pt>
                <c:pt idx="3">
                  <c:v>202832.24017443293</c:v>
                </c:pt>
                <c:pt idx="4">
                  <c:v>188928.9677272565</c:v>
                </c:pt>
                <c:pt idx="5">
                  <c:v>310372.69129463064</c:v>
                </c:pt>
                <c:pt idx="6">
                  <c:v>1878.2913602497254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42268.308449951423</c:v>
                </c:pt>
                <c:pt idx="2">
                  <c:v>24700.450786303663</c:v>
                </c:pt>
                <c:pt idx="3">
                  <c:v>274.34688103997371</c:v>
                </c:pt>
                <c:pt idx="4">
                  <c:v>48028.175918788722</c:v>
                </c:pt>
                <c:pt idx="5">
                  <c:v>38044.672591079237</c:v>
                </c:pt>
                <c:pt idx="6">
                  <c:v>78642.332386969094</c:v>
                </c:pt>
                <c:pt idx="7">
                  <c:v>479.38421472448636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42268.308449951423</c:v>
                </c:pt>
                <c:pt idx="2">
                  <c:v>24700.450786303663</c:v>
                </c:pt>
                <c:pt idx="3">
                  <c:v>274.34688103997371</c:v>
                </c:pt>
                <c:pt idx="4">
                  <c:v>48028.175918788722</c:v>
                </c:pt>
                <c:pt idx="5">
                  <c:v>38044.672591079237</c:v>
                </c:pt>
                <c:pt idx="6">
                  <c:v>78642.332386969094</c:v>
                </c:pt>
                <c:pt idx="7">
                  <c:v>479.38421472448636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13014</v>
      </c>
      <c r="B6" s="385"/>
      <c r="C6" s="386"/>
    </row>
    <row r="7" spans="1:7" s="383" customFormat="1" ht="15.75" customHeight="1">
      <c r="A7" s="387" t="str">
        <f>txtMunicipality</f>
        <v>HOOGSTRATEN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0.19060218820884273</v>
      </c>
      <c r="C17" s="498">
        <f ca="1">'EF ele_warmte'!B22</f>
        <v>0.22944543783408441</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0.19060218820884273</v>
      </c>
      <c r="C29" s="499">
        <f ca="1">'EF ele_warmte'!B22</f>
        <v>0.22944543783408441</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8071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6199</v>
      </c>
      <c r="C14" s="327"/>
      <c r="D14" s="327"/>
      <c r="E14" s="327"/>
      <c r="F14" s="327"/>
    </row>
    <row r="15" spans="1:6">
      <c r="A15" s="1258" t="s">
        <v>177</v>
      </c>
      <c r="B15" s="1259">
        <v>3421</v>
      </c>
      <c r="C15" s="327"/>
      <c r="D15" s="327"/>
      <c r="E15" s="327"/>
      <c r="F15" s="327"/>
    </row>
    <row r="16" spans="1:6">
      <c r="A16" s="1258" t="s">
        <v>6</v>
      </c>
      <c r="B16" s="1259">
        <v>6051</v>
      </c>
      <c r="C16" s="327"/>
      <c r="D16" s="327"/>
      <c r="E16" s="327"/>
      <c r="F16" s="327"/>
    </row>
    <row r="17" spans="1:6">
      <c r="A17" s="1258" t="s">
        <v>7</v>
      </c>
      <c r="B17" s="1259">
        <v>827</v>
      </c>
      <c r="C17" s="327"/>
      <c r="D17" s="327"/>
      <c r="E17" s="327"/>
      <c r="F17" s="327"/>
    </row>
    <row r="18" spans="1:6">
      <c r="A18" s="1258" t="s">
        <v>8</v>
      </c>
      <c r="B18" s="1259">
        <v>3962</v>
      </c>
      <c r="C18" s="327"/>
      <c r="D18" s="327"/>
      <c r="E18" s="327"/>
      <c r="F18" s="327"/>
    </row>
    <row r="19" spans="1:6">
      <c r="A19" s="1258" t="s">
        <v>9</v>
      </c>
      <c r="B19" s="1259">
        <v>3510</v>
      </c>
      <c r="C19" s="327"/>
      <c r="D19" s="327"/>
      <c r="E19" s="327"/>
      <c r="F19" s="327"/>
    </row>
    <row r="20" spans="1:6">
      <c r="A20" s="1258" t="s">
        <v>10</v>
      </c>
      <c r="B20" s="1259">
        <v>2065</v>
      </c>
      <c r="C20" s="327"/>
      <c r="D20" s="327"/>
      <c r="E20" s="327"/>
      <c r="F20" s="327"/>
    </row>
    <row r="21" spans="1:6">
      <c r="A21" s="1258" t="s">
        <v>11</v>
      </c>
      <c r="B21" s="1259">
        <v>67215</v>
      </c>
      <c r="C21" s="327"/>
      <c r="D21" s="327"/>
      <c r="E21" s="327"/>
      <c r="F21" s="327"/>
    </row>
    <row r="22" spans="1:6">
      <c r="A22" s="1258" t="s">
        <v>12</v>
      </c>
      <c r="B22" s="1259">
        <v>162054</v>
      </c>
      <c r="C22" s="327"/>
      <c r="D22" s="327"/>
      <c r="E22" s="327"/>
      <c r="F22" s="327"/>
    </row>
    <row r="23" spans="1:6">
      <c r="A23" s="1258" t="s">
        <v>13</v>
      </c>
      <c r="B23" s="1259">
        <v>2681</v>
      </c>
      <c r="C23" s="327"/>
      <c r="D23" s="327"/>
      <c r="E23" s="327"/>
      <c r="F23" s="327"/>
    </row>
    <row r="24" spans="1:6">
      <c r="A24" s="1258" t="s">
        <v>14</v>
      </c>
      <c r="B24" s="1259">
        <v>228</v>
      </c>
      <c r="C24" s="327"/>
      <c r="D24" s="327"/>
      <c r="E24" s="327"/>
      <c r="F24" s="327"/>
    </row>
    <row r="25" spans="1:6">
      <c r="A25" s="1258" t="s">
        <v>15</v>
      </c>
      <c r="B25" s="1259">
        <v>15101</v>
      </c>
      <c r="C25" s="327"/>
      <c r="D25" s="327"/>
      <c r="E25" s="327"/>
      <c r="F25" s="327"/>
    </row>
    <row r="26" spans="1:6">
      <c r="A26" s="1258" t="s">
        <v>16</v>
      </c>
      <c r="B26" s="1259">
        <v>429</v>
      </c>
      <c r="C26" s="327"/>
      <c r="D26" s="327"/>
      <c r="E26" s="327"/>
      <c r="F26" s="327"/>
    </row>
    <row r="27" spans="1:6">
      <c r="A27" s="1258" t="s">
        <v>17</v>
      </c>
      <c r="B27" s="1259">
        <v>1389</v>
      </c>
      <c r="C27" s="327"/>
      <c r="D27" s="327"/>
      <c r="E27" s="327"/>
      <c r="F27" s="327"/>
    </row>
    <row r="28" spans="1:6">
      <c r="A28" s="1258" t="s">
        <v>18</v>
      </c>
      <c r="B28" s="1260">
        <v>1196877</v>
      </c>
      <c r="C28" s="327"/>
      <c r="D28" s="327"/>
      <c r="E28" s="327"/>
      <c r="F28" s="327"/>
    </row>
    <row r="29" spans="1:6">
      <c r="A29" s="1258" t="s">
        <v>905</v>
      </c>
      <c r="B29" s="1260">
        <v>315</v>
      </c>
      <c r="C29" s="327"/>
      <c r="D29" s="327"/>
      <c r="E29" s="327"/>
      <c r="F29" s="327"/>
    </row>
    <row r="30" spans="1:6">
      <c r="A30" s="1253" t="s">
        <v>906</v>
      </c>
      <c r="B30" s="1261">
        <v>67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353130.48943851201</v>
      </c>
    </row>
    <row r="36" spans="1:6">
      <c r="A36" s="1258" t="s">
        <v>24</v>
      </c>
      <c r="B36" s="1258" t="s">
        <v>26</v>
      </c>
      <c r="C36" s="1259">
        <v>0</v>
      </c>
      <c r="D36" s="1259">
        <v>0</v>
      </c>
      <c r="E36" s="1259">
        <v>4</v>
      </c>
      <c r="F36" s="1259">
        <v>245521.76279091</v>
      </c>
    </row>
    <row r="37" spans="1:6">
      <c r="A37" s="1258" t="s">
        <v>24</v>
      </c>
      <c r="B37" s="1258" t="s">
        <v>27</v>
      </c>
      <c r="C37" s="1259">
        <v>0</v>
      </c>
      <c r="D37" s="1259">
        <v>0</v>
      </c>
      <c r="E37" s="1259">
        <v>0</v>
      </c>
      <c r="F37" s="1259">
        <v>0</v>
      </c>
    </row>
    <row r="38" spans="1:6">
      <c r="A38" s="1258" t="s">
        <v>24</v>
      </c>
      <c r="B38" s="1258" t="s">
        <v>28</v>
      </c>
      <c r="C38" s="1259">
        <v>5</v>
      </c>
      <c r="D38" s="1259">
        <v>54671789.227378301</v>
      </c>
      <c r="E38" s="1259">
        <v>6</v>
      </c>
      <c r="F38" s="1259">
        <v>180662.01497783599</v>
      </c>
    </row>
    <row r="39" spans="1:6">
      <c r="A39" s="1258" t="s">
        <v>29</v>
      </c>
      <c r="B39" s="1258" t="s">
        <v>30</v>
      </c>
      <c r="C39" s="1259">
        <v>5457</v>
      </c>
      <c r="D39" s="1259">
        <v>114013942.245401</v>
      </c>
      <c r="E39" s="1259">
        <v>7801</v>
      </c>
      <c r="F39" s="1259">
        <v>34810590.325045601</v>
      </c>
    </row>
    <row r="40" spans="1:6">
      <c r="A40" s="1258" t="s">
        <v>29</v>
      </c>
      <c r="B40" s="1258" t="s">
        <v>28</v>
      </c>
      <c r="C40" s="1259">
        <v>0</v>
      </c>
      <c r="D40" s="1259">
        <v>0</v>
      </c>
      <c r="E40" s="1259">
        <v>0</v>
      </c>
      <c r="F40" s="1259">
        <v>0</v>
      </c>
    </row>
    <row r="41" spans="1:6">
      <c r="A41" s="1258" t="s">
        <v>31</v>
      </c>
      <c r="B41" s="1258" t="s">
        <v>32</v>
      </c>
      <c r="C41" s="1259">
        <v>36</v>
      </c>
      <c r="D41" s="1259">
        <v>1222004.99927039</v>
      </c>
      <c r="E41" s="1259">
        <v>169</v>
      </c>
      <c r="F41" s="1259">
        <v>7348182.2609246597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750656.35709669197</v>
      </c>
      <c r="E44" s="1259">
        <v>13</v>
      </c>
      <c r="F44" s="1259">
        <v>1256923.6703111799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6</v>
      </c>
      <c r="F47" s="1259">
        <v>2831740.1896269699</v>
      </c>
    </row>
    <row r="48" spans="1:6">
      <c r="A48" s="1258" t="s">
        <v>31</v>
      </c>
      <c r="B48" s="1258" t="s">
        <v>28</v>
      </c>
      <c r="C48" s="1259">
        <v>89</v>
      </c>
      <c r="D48" s="1259">
        <v>66725846.206376702</v>
      </c>
      <c r="E48" s="1259">
        <v>105</v>
      </c>
      <c r="F48" s="1259">
        <v>72321233.870255396</v>
      </c>
    </row>
    <row r="49" spans="1:6">
      <c r="A49" s="1258" t="s">
        <v>31</v>
      </c>
      <c r="B49" s="1258" t="s">
        <v>39</v>
      </c>
      <c r="C49" s="1259">
        <v>0</v>
      </c>
      <c r="D49" s="1259">
        <v>0</v>
      </c>
      <c r="E49" s="1259">
        <v>0</v>
      </c>
      <c r="F49" s="1259">
        <v>0</v>
      </c>
    </row>
    <row r="50" spans="1:6">
      <c r="A50" s="1258" t="s">
        <v>31</v>
      </c>
      <c r="B50" s="1258" t="s">
        <v>40</v>
      </c>
      <c r="C50" s="1259">
        <v>3</v>
      </c>
      <c r="D50" s="1259">
        <v>277649.65811669</v>
      </c>
      <c r="E50" s="1259">
        <v>11</v>
      </c>
      <c r="F50" s="1259">
        <v>3471609.5998506201</v>
      </c>
    </row>
    <row r="51" spans="1:6">
      <c r="A51" s="1258" t="s">
        <v>41</v>
      </c>
      <c r="B51" s="1258" t="s">
        <v>42</v>
      </c>
      <c r="C51" s="1259">
        <v>33</v>
      </c>
      <c r="D51" s="1259">
        <v>183734718.01859799</v>
      </c>
      <c r="E51" s="1259">
        <v>419</v>
      </c>
      <c r="F51" s="1259">
        <v>19882044.811959401</v>
      </c>
    </row>
    <row r="52" spans="1:6">
      <c r="A52" s="1258" t="s">
        <v>41</v>
      </c>
      <c r="B52" s="1258" t="s">
        <v>28</v>
      </c>
      <c r="C52" s="1259">
        <v>22</v>
      </c>
      <c r="D52" s="1259">
        <v>15702138.715842299</v>
      </c>
      <c r="E52" s="1259">
        <v>41</v>
      </c>
      <c r="F52" s="1259">
        <v>1141293.9296029699</v>
      </c>
    </row>
    <row r="53" spans="1:6">
      <c r="A53" s="1258" t="s">
        <v>43</v>
      </c>
      <c r="B53" s="1258" t="s">
        <v>44</v>
      </c>
      <c r="C53" s="1259">
        <v>135</v>
      </c>
      <c r="D53" s="1259">
        <v>3038004.30254295</v>
      </c>
      <c r="E53" s="1259">
        <v>320</v>
      </c>
      <c r="F53" s="1259">
        <v>1582158.0588932601</v>
      </c>
    </row>
    <row r="54" spans="1:6">
      <c r="A54" s="1258" t="s">
        <v>45</v>
      </c>
      <c r="B54" s="1258" t="s">
        <v>46</v>
      </c>
      <c r="C54" s="1259">
        <v>0</v>
      </c>
      <c r="D54" s="1259">
        <v>0</v>
      </c>
      <c r="E54" s="1259">
        <v>3</v>
      </c>
      <c r="F54" s="1259">
        <v>1439369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34</v>
      </c>
      <c r="D57" s="1259">
        <v>16391937.6218972</v>
      </c>
      <c r="E57" s="1259">
        <v>132</v>
      </c>
      <c r="F57" s="1259">
        <v>3504835.4722239501</v>
      </c>
    </row>
    <row r="58" spans="1:6">
      <c r="A58" s="1258" t="s">
        <v>48</v>
      </c>
      <c r="B58" s="1258" t="s">
        <v>50</v>
      </c>
      <c r="C58" s="1259">
        <v>14</v>
      </c>
      <c r="D58" s="1259">
        <v>489792.474472414</v>
      </c>
      <c r="E58" s="1259">
        <v>23</v>
      </c>
      <c r="F58" s="1259">
        <v>203532.32854114601</v>
      </c>
    </row>
    <row r="59" spans="1:6">
      <c r="A59" s="1258" t="s">
        <v>48</v>
      </c>
      <c r="B59" s="1258" t="s">
        <v>51</v>
      </c>
      <c r="C59" s="1259">
        <v>75</v>
      </c>
      <c r="D59" s="1259">
        <v>4792273.0047348598</v>
      </c>
      <c r="E59" s="1259">
        <v>183</v>
      </c>
      <c r="F59" s="1259">
        <v>8034538.75367775</v>
      </c>
    </row>
    <row r="60" spans="1:6">
      <c r="A60" s="1258" t="s">
        <v>48</v>
      </c>
      <c r="B60" s="1258" t="s">
        <v>52</v>
      </c>
      <c r="C60" s="1259">
        <v>71</v>
      </c>
      <c r="D60" s="1259">
        <v>4186293.1437587901</v>
      </c>
      <c r="E60" s="1259">
        <v>103</v>
      </c>
      <c r="F60" s="1259">
        <v>2736984.0463354001</v>
      </c>
    </row>
    <row r="61" spans="1:6">
      <c r="A61" s="1258" t="s">
        <v>48</v>
      </c>
      <c r="B61" s="1258" t="s">
        <v>53</v>
      </c>
      <c r="C61" s="1259">
        <v>130</v>
      </c>
      <c r="D61" s="1259">
        <v>11078432.796212399</v>
      </c>
      <c r="E61" s="1259">
        <v>297</v>
      </c>
      <c r="F61" s="1259">
        <v>9569143.4969502203</v>
      </c>
    </row>
    <row r="62" spans="1:6">
      <c r="A62" s="1258" t="s">
        <v>48</v>
      </c>
      <c r="B62" s="1258" t="s">
        <v>54</v>
      </c>
      <c r="C62" s="1259">
        <v>13</v>
      </c>
      <c r="D62" s="1259">
        <v>4250529.4316269597</v>
      </c>
      <c r="E62" s="1259">
        <v>11</v>
      </c>
      <c r="F62" s="1259">
        <v>1474179.17940255</v>
      </c>
    </row>
    <row r="63" spans="1:6">
      <c r="A63" s="1258" t="s">
        <v>48</v>
      </c>
      <c r="B63" s="1258" t="s">
        <v>28</v>
      </c>
      <c r="C63" s="1259">
        <v>193</v>
      </c>
      <c r="D63" s="1259">
        <v>35279171.028717302</v>
      </c>
      <c r="E63" s="1259">
        <v>294</v>
      </c>
      <c r="F63" s="1259">
        <v>22594333.6657876</v>
      </c>
    </row>
    <row r="64" spans="1:6">
      <c r="A64" s="1258" t="s">
        <v>55</v>
      </c>
      <c r="B64" s="1258" t="s">
        <v>56</v>
      </c>
      <c r="C64" s="1259">
        <v>0</v>
      </c>
      <c r="D64" s="1259">
        <v>0</v>
      </c>
      <c r="E64" s="1259">
        <v>0</v>
      </c>
      <c r="F64" s="1259">
        <v>0</v>
      </c>
    </row>
    <row r="65" spans="1:6">
      <c r="A65" s="1258" t="s">
        <v>55</v>
      </c>
      <c r="B65" s="1258" t="s">
        <v>28</v>
      </c>
      <c r="C65" s="1259">
        <v>2</v>
      </c>
      <c r="D65" s="1259">
        <v>34663.774542254498</v>
      </c>
      <c r="E65" s="1259">
        <v>4</v>
      </c>
      <c r="F65" s="1259">
        <v>46729.223357763301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155028.086717545</v>
      </c>
      <c r="E68" s="1261">
        <v>27</v>
      </c>
      <c r="F68" s="1261">
        <v>1133078.91487064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81213624</v>
      </c>
      <c r="E73" s="446"/>
      <c r="F73" s="327"/>
    </row>
    <row r="74" spans="1:6">
      <c r="A74" s="1258" t="s">
        <v>63</v>
      </c>
      <c r="B74" s="1258" t="s">
        <v>681</v>
      </c>
      <c r="C74" s="1271" t="s">
        <v>682</v>
      </c>
      <c r="D74" s="1259">
        <v>9146611.9242489263</v>
      </c>
      <c r="E74" s="446"/>
      <c r="F74" s="327"/>
    </row>
    <row r="75" spans="1:6">
      <c r="A75" s="1258" t="s">
        <v>64</v>
      </c>
      <c r="B75" s="1258" t="s">
        <v>679</v>
      </c>
      <c r="C75" s="1271" t="s">
        <v>683</v>
      </c>
      <c r="D75" s="1259">
        <v>39110294</v>
      </c>
      <c r="E75" s="446"/>
      <c r="F75" s="327"/>
    </row>
    <row r="76" spans="1:6">
      <c r="A76" s="1258" t="s">
        <v>64</v>
      </c>
      <c r="B76" s="1258" t="s">
        <v>681</v>
      </c>
      <c r="C76" s="1271" t="s">
        <v>684</v>
      </c>
      <c r="D76" s="1259">
        <v>507357.92424892582</v>
      </c>
      <c r="E76" s="446"/>
      <c r="F76" s="327"/>
    </row>
    <row r="77" spans="1:6">
      <c r="A77" s="1258" t="s">
        <v>65</v>
      </c>
      <c r="B77" s="1258" t="s">
        <v>679</v>
      </c>
      <c r="C77" s="1271" t="s">
        <v>685</v>
      </c>
      <c r="D77" s="1259">
        <v>139387819</v>
      </c>
      <c r="E77" s="446"/>
      <c r="F77" s="327"/>
    </row>
    <row r="78" spans="1:6">
      <c r="A78" s="1253" t="s">
        <v>65</v>
      </c>
      <c r="B78" s="1253" t="s">
        <v>681</v>
      </c>
      <c r="C78" s="1253" t="s">
        <v>686</v>
      </c>
      <c r="D78" s="1261">
        <v>39632964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497128.15150214836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22081.854630000002</v>
      </c>
      <c r="C90" s="327"/>
      <c r="D90" s="327"/>
      <c r="E90" s="327"/>
      <c r="F90" s="327"/>
    </row>
    <row r="91" spans="1:6">
      <c r="A91" s="1258" t="s">
        <v>67</v>
      </c>
      <c r="B91" s="1259">
        <v>4255.1027978340808</v>
      </c>
      <c r="C91" s="327"/>
      <c r="D91" s="327"/>
      <c r="E91" s="327"/>
      <c r="F91" s="327"/>
    </row>
    <row r="92" spans="1:6">
      <c r="A92" s="1253" t="s">
        <v>68</v>
      </c>
      <c r="B92" s="1254">
        <v>3700.8248402255758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2912</v>
      </c>
      <c r="C97" s="327"/>
      <c r="D97" s="327"/>
      <c r="E97" s="327"/>
      <c r="F97" s="327"/>
    </row>
    <row r="98" spans="1:6">
      <c r="A98" s="1258" t="s">
        <v>71</v>
      </c>
      <c r="B98" s="1259">
        <v>9</v>
      </c>
      <c r="C98" s="327"/>
      <c r="D98" s="327"/>
      <c r="E98" s="327"/>
      <c r="F98" s="327"/>
    </row>
    <row r="99" spans="1:6">
      <c r="A99" s="1258" t="s">
        <v>72</v>
      </c>
      <c r="B99" s="1259">
        <v>149</v>
      </c>
      <c r="C99" s="327"/>
      <c r="D99" s="327"/>
      <c r="E99" s="327"/>
      <c r="F99" s="327"/>
    </row>
    <row r="100" spans="1:6">
      <c r="A100" s="1258" t="s">
        <v>73</v>
      </c>
      <c r="B100" s="1259">
        <v>429</v>
      </c>
      <c r="C100" s="327"/>
      <c r="D100" s="327"/>
      <c r="E100" s="327"/>
      <c r="F100" s="327"/>
    </row>
    <row r="101" spans="1:6">
      <c r="A101" s="1258" t="s">
        <v>74</v>
      </c>
      <c r="B101" s="1259">
        <v>128</v>
      </c>
      <c r="C101" s="327"/>
      <c r="D101" s="327"/>
      <c r="E101" s="327"/>
      <c r="F101" s="327"/>
    </row>
    <row r="102" spans="1:6">
      <c r="A102" s="1258" t="s">
        <v>75</v>
      </c>
      <c r="B102" s="1259">
        <v>67</v>
      </c>
      <c r="C102" s="327"/>
      <c r="D102" s="327"/>
      <c r="E102" s="327"/>
      <c r="F102" s="327"/>
    </row>
    <row r="103" spans="1:6">
      <c r="A103" s="1258" t="s">
        <v>76</v>
      </c>
      <c r="B103" s="1259">
        <v>104</v>
      </c>
      <c r="C103" s="327"/>
      <c r="D103" s="327"/>
      <c r="E103" s="327"/>
      <c r="F103" s="327"/>
    </row>
    <row r="104" spans="1:6">
      <c r="A104" s="1258" t="s">
        <v>77</v>
      </c>
      <c r="B104" s="1259">
        <v>2695</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1</v>
      </c>
      <c r="C122" s="1259">
        <v>0</v>
      </c>
      <c r="D122" s="327"/>
      <c r="E122" s="327"/>
      <c r="F122" s="327"/>
    </row>
    <row r="123" spans="1:6">
      <c r="A123" s="1258" t="s">
        <v>87</v>
      </c>
      <c r="B123" s="1259">
        <v>24</v>
      </c>
      <c r="C123" s="1259">
        <v>18</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205</v>
      </c>
      <c r="C129" s="327"/>
      <c r="D129" s="327"/>
      <c r="E129" s="327"/>
      <c r="F129" s="327"/>
    </row>
    <row r="130" spans="1:6">
      <c r="A130" s="1258" t="s">
        <v>284</v>
      </c>
      <c r="B130" s="1259">
        <v>3</v>
      </c>
      <c r="C130" s="327"/>
      <c r="D130" s="327"/>
      <c r="E130" s="327"/>
      <c r="F130" s="327"/>
    </row>
    <row r="131" spans="1:6">
      <c r="A131" s="1258" t="s">
        <v>285</v>
      </c>
      <c r="B131" s="1259">
        <v>4</v>
      </c>
      <c r="C131" s="327"/>
      <c r="D131" s="327"/>
      <c r="E131" s="327"/>
      <c r="F131" s="327"/>
    </row>
    <row r="132" spans="1:6">
      <c r="A132" s="1253" t="s">
        <v>286</v>
      </c>
      <c r="B132" s="1254">
        <v>23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209377.51105737605</v>
      </c>
      <c r="C3" s="43" t="s">
        <v>163</v>
      </c>
      <c r="D3" s="43"/>
      <c r="E3" s="156"/>
      <c r="F3" s="43"/>
      <c r="G3" s="43"/>
      <c r="H3" s="43"/>
      <c r="I3" s="43"/>
      <c r="J3" s="43"/>
      <c r="K3" s="96"/>
    </row>
    <row r="4" spans="1:11">
      <c r="A4" s="353" t="s">
        <v>164</v>
      </c>
      <c r="B4" s="49">
        <f>IF(ISERROR('SEAP template'!B78+'SEAP template'!C78),0,'SEAP template'!B78+'SEAP template'!C78)</f>
        <v>98881.81976805965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15488.263994318115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0.19060218820884273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21865.310291396167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95296.339285714261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0.22944543783408441</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1439.3689999999999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1439.3689999999999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0.19060218820884273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274.34688103997371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34810.590325045603</v>
      </c>
      <c r="C5" s="17">
        <f>IF(ISERROR('Eigen informatie GS &amp; warmtenet'!B57),0,'Eigen informatie GS &amp; warmtenet'!B57)</f>
        <v>0</v>
      </c>
      <c r="D5" s="30">
        <f>(SUM(HH_hh_gas_kWh,HH_rest_gas_kWh)/1000)*0.902</f>
        <v>102840.5759053517</v>
      </c>
      <c r="E5" s="17">
        <f>B32*B41</f>
        <v>1630.7426246495065</v>
      </c>
      <c r="F5" s="17">
        <f>B36*B45</f>
        <v>49974.878676710527</v>
      </c>
      <c r="G5" s="18"/>
      <c r="H5" s="17"/>
      <c r="I5" s="17"/>
      <c r="J5" s="17">
        <f>B35*B44+C35*C44</f>
        <v>946.42469343847847</v>
      </c>
      <c r="K5" s="17"/>
      <c r="L5" s="17"/>
      <c r="M5" s="17"/>
      <c r="N5" s="17">
        <f>B34*B43+C34*C43</f>
        <v>12465.400189966991</v>
      </c>
      <c r="O5" s="17">
        <f>B52*B53*B54</f>
        <v>350.18666666666672</v>
      </c>
      <c r="P5" s="17">
        <f>B60*B61*B62/1000-B60*B61*B62/1000/B63</f>
        <v>896.13333333333333</v>
      </c>
    </row>
    <row r="6" spans="1:16">
      <c r="A6" s="16" t="s">
        <v>592</v>
      </c>
      <c r="B6" s="733">
        <f>kWh_PV_kleiner_dan_10kW</f>
        <v>4255.1027978340808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39065.693122879682</v>
      </c>
      <c r="C8" s="21">
        <f>C5</f>
        <v>0</v>
      </c>
      <c r="D8" s="21">
        <f>D5</f>
        <v>102840.5759053517</v>
      </c>
      <c r="E8" s="21">
        <f>E5</f>
        <v>1630.7426246495065</v>
      </c>
      <c r="F8" s="21">
        <f>F5</f>
        <v>49974.878676710527</v>
      </c>
      <c r="G8" s="21"/>
      <c r="H8" s="21"/>
      <c r="I8" s="21"/>
      <c r="J8" s="21">
        <f>J5</f>
        <v>946.42469343847847</v>
      </c>
      <c r="K8" s="21"/>
      <c r="L8" s="21">
        <f>L5</f>
        <v>0</v>
      </c>
      <c r="M8" s="21">
        <f>M5</f>
        <v>0</v>
      </c>
      <c r="N8" s="21">
        <f>N5</f>
        <v>12465.400189966991</v>
      </c>
      <c r="O8" s="21">
        <f>O5</f>
        <v>350.18666666666672</v>
      </c>
      <c r="P8" s="21">
        <f>P5</f>
        <v>896.13333333333333</v>
      </c>
    </row>
    <row r="9" spans="1:16">
      <c r="B9" s="19"/>
      <c r="C9" s="19"/>
      <c r="D9" s="257"/>
      <c r="E9" s="19"/>
      <c r="F9" s="19"/>
      <c r="G9" s="19"/>
      <c r="H9" s="19"/>
      <c r="I9" s="19"/>
      <c r="J9" s="19"/>
      <c r="K9" s="19"/>
      <c r="L9" s="19"/>
      <c r="M9" s="19"/>
      <c r="N9" s="19"/>
      <c r="O9" s="19"/>
      <c r="P9" s="19"/>
    </row>
    <row r="10" spans="1:16">
      <c r="A10" s="24" t="s">
        <v>207</v>
      </c>
      <c r="B10" s="25">
        <f ca="1">'EF ele_warmte'!B12</f>
        <v>0.19060218820884273</v>
      </c>
      <c r="C10" s="25">
        <f ca="1">'EF ele_warmte'!B22</f>
        <v>0.22944543783408441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7446.0065931160061</v>
      </c>
      <c r="C12" s="23">
        <f ca="1">C10*C8</f>
        <v>0</v>
      </c>
      <c r="D12" s="23">
        <f>D8*D10</f>
        <v>20773.796332881044</v>
      </c>
      <c r="E12" s="23">
        <f>E10*E8</f>
        <v>370.17857579543801</v>
      </c>
      <c r="F12" s="23">
        <f>F10*F8</f>
        <v>13343.292606681711</v>
      </c>
      <c r="G12" s="23"/>
      <c r="H12" s="23"/>
      <c r="I12" s="23"/>
      <c r="J12" s="23">
        <f>J10*J8</f>
        <v>335.03434147722135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8071</v>
      </c>
      <c r="C26" s="36"/>
      <c r="D26" s="227"/>
    </row>
    <row r="27" spans="1:5" s="15" customFormat="1">
      <c r="A27" s="229" t="s">
        <v>697</v>
      </c>
      <c r="B27" s="37">
        <f>SUM(HH_hh_gas_aantal,HH_rest_gas_aantal)</f>
        <v>5457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5184.1499999999996</v>
      </c>
      <c r="C31" s="34" t="s">
        <v>104</v>
      </c>
      <c r="D31" s="173"/>
    </row>
    <row r="32" spans="1:5">
      <c r="A32" s="170" t="s">
        <v>72</v>
      </c>
      <c r="B32" s="33">
        <f>IF((B21*($B$26-($B$27-0.05*$B$27)-$B$60))&lt;0,0,B21*($B$26-($B$27-0.05*$B$27)-$B$60))</f>
        <v>71.114280006455417</v>
      </c>
      <c r="C32" s="34" t="s">
        <v>104</v>
      </c>
      <c r="D32" s="173"/>
    </row>
    <row r="33" spans="1:6">
      <c r="A33" s="170" t="s">
        <v>73</v>
      </c>
      <c r="B33" s="33">
        <f>IF((B22*($B$26-($B$27-0.05*$B$27)-$B$60))&lt;0,0,B22*($B$26-($B$27-0.05*$B$27)-$B$60))</f>
        <v>478.68251008048969</v>
      </c>
      <c r="C33" s="34" t="s">
        <v>104</v>
      </c>
      <c r="D33" s="173"/>
    </row>
    <row r="34" spans="1:6">
      <c r="A34" s="170" t="s">
        <v>74</v>
      </c>
      <c r="B34" s="33">
        <f>IF((B24*($B$26-($B$27-0.05*$B$27)-$B$60))&lt;0,0,B24*($B$26-($B$27-0.05*$B$27)-$B$60))</f>
        <v>121.44824111803885</v>
      </c>
      <c r="C34" s="33">
        <f>B26*C24</f>
        <v>1651.0043058318743</v>
      </c>
      <c r="D34" s="232"/>
    </row>
    <row r="35" spans="1:6">
      <c r="A35" s="170" t="s">
        <v>76</v>
      </c>
      <c r="B35" s="33">
        <f>IF((B19*($B$26-($B$27-0.05*$B$27)-$B$60))&lt;0,0,B19*($B$26-($B$27-0.05*$B$27)-$B$60))</f>
        <v>45.134155695455092</v>
      </c>
      <c r="C35" s="33">
        <f>B35/2</f>
        <v>22.567077847727546</v>
      </c>
      <c r="D35" s="232"/>
    </row>
    <row r="36" spans="1:6">
      <c r="A36" s="170" t="s">
        <v>77</v>
      </c>
      <c r="B36" s="33">
        <f>IF((B18*($B$26-($B$27-0.05*$B$27)-$B$60))&lt;0,0,B18*($B$26-($B$27-0.05*$B$27)-$B$60))</f>
        <v>2123.4708130995614</v>
      </c>
      <c r="C36" s="34" t="s">
        <v>104</v>
      </c>
      <c r="D36" s="173"/>
    </row>
    <row r="37" spans="1:6">
      <c r="A37" s="170" t="s">
        <v>78</v>
      </c>
      <c r="B37" s="33">
        <f>B60</f>
        <v>47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224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48117.546942918612</v>
      </c>
      <c r="C5" s="17">
        <f>IF(ISERROR('Eigen informatie GS &amp; warmtenet'!B58),0,'Eigen informatie GS &amp; warmtenet'!B58)</f>
        <v>0</v>
      </c>
      <c r="D5" s="30">
        <f>SUM(D6:D12)</f>
        <v>68974.523410280774</v>
      </c>
      <c r="E5" s="17">
        <f>SUM(E6:E12)</f>
        <v>291.96186269837108</v>
      </c>
      <c r="F5" s="17">
        <f>SUM(F6:F12)</f>
        <v>6651.3928611715655</v>
      </c>
      <c r="G5" s="18"/>
      <c r="H5" s="17"/>
      <c r="I5" s="17"/>
      <c r="J5" s="17">
        <f>SUM(J6:J12)</f>
        <v>77.248011201043568</v>
      </c>
      <c r="K5" s="17"/>
      <c r="L5" s="17"/>
      <c r="M5" s="17"/>
      <c r="N5" s="17">
        <f>SUM(N6:N12)</f>
        <v>3822.0628686142727</v>
      </c>
      <c r="O5" s="17">
        <f>B38*B39*B40</f>
        <v>4.6900000000000004</v>
      </c>
      <c r="P5" s="17">
        <f>B46*B47*B48/1000-B46*B47*B48/1000/B49</f>
        <v>95.333333333333343</v>
      </c>
      <c r="R5" s="32"/>
    </row>
    <row r="6" spans="1:18">
      <c r="A6" s="32" t="s">
        <v>53</v>
      </c>
      <c r="B6" s="37">
        <f>B26</f>
        <v>9569.1434969502207</v>
      </c>
      <c r="C6" s="33"/>
      <c r="D6" s="37">
        <f>IF(ISERROR(TER_kantoor_gas_kWh/1000),0,TER_kantoor_gas_kWh/1000)*0.902</f>
        <v>9992.7463821835845</v>
      </c>
      <c r="E6" s="33">
        <f>$C$26*'E Balans VL '!I12/100/3.6*1000000</f>
        <v>80.771917233827239</v>
      </c>
      <c r="F6" s="33">
        <f>$C$26*('E Balans VL '!L12+'E Balans VL '!N12)/100/3.6*1000000</f>
        <v>1283.1161925643041</v>
      </c>
      <c r="G6" s="34"/>
      <c r="H6" s="33"/>
      <c r="I6" s="33"/>
      <c r="J6" s="33">
        <f>$C$26*('E Balans VL '!D12+'E Balans VL '!E12)/100/3.6*1000000</f>
        <v>0</v>
      </c>
      <c r="K6" s="33"/>
      <c r="L6" s="33"/>
      <c r="M6" s="33"/>
      <c r="N6" s="33">
        <f>$C$26*'E Balans VL '!Y12/100/3.6*1000000</f>
        <v>84.157657507693997</v>
      </c>
      <c r="O6" s="33"/>
      <c r="P6" s="33"/>
      <c r="R6" s="32"/>
    </row>
    <row r="7" spans="1:18">
      <c r="A7" s="32" t="s">
        <v>52</v>
      </c>
      <c r="B7" s="37">
        <f t="shared" ref="B7:B12" si="0">B27</f>
        <v>2736.9840463354003</v>
      </c>
      <c r="C7" s="33"/>
      <c r="D7" s="37">
        <f>IF(ISERROR(TER_horeca_gas_kWh/1000),0,TER_horeca_gas_kWh/1000)*0.902</f>
        <v>3776.0364156704291</v>
      </c>
      <c r="E7" s="33">
        <f>$C$27*'E Balans VL '!I9/100/3.6*1000000</f>
        <v>35.985876023054786</v>
      </c>
      <c r="F7" s="33">
        <f>$C$27*('E Balans VL '!L9+'E Balans VL '!N9)/100/3.6*1000000</f>
        <v>687.35891415562241</v>
      </c>
      <c r="G7" s="34"/>
      <c r="H7" s="33"/>
      <c r="I7" s="33"/>
      <c r="J7" s="33">
        <f>$C$27*('E Balans VL '!D9+'E Balans VL '!E9)/100/3.6*1000000</f>
        <v>0</v>
      </c>
      <c r="K7" s="33"/>
      <c r="L7" s="33"/>
      <c r="M7" s="33"/>
      <c r="N7" s="33">
        <f>$C$27*'E Balans VL '!Y9/100/3.6*1000000</f>
        <v>0.74511031047341614</v>
      </c>
      <c r="O7" s="33"/>
      <c r="P7" s="33"/>
      <c r="R7" s="32"/>
    </row>
    <row r="8" spans="1:18">
      <c r="A8" s="6" t="s">
        <v>51</v>
      </c>
      <c r="B8" s="37">
        <f t="shared" si="0"/>
        <v>8034.5387536777498</v>
      </c>
      <c r="C8" s="33"/>
      <c r="D8" s="37">
        <f>IF(ISERROR(TER_handel_gas_kWh/1000),0,TER_handel_gas_kWh/1000)*0.902</f>
        <v>4322.6302502708431</v>
      </c>
      <c r="E8" s="33">
        <f>$C$28*'E Balans VL '!I13/100/3.6*1000000</f>
        <v>35.186200860448885</v>
      </c>
      <c r="F8" s="33">
        <f>$C$28*('E Balans VL '!L13+'E Balans VL '!N13)/100/3.6*1000000</f>
        <v>540.03848318395831</v>
      </c>
      <c r="G8" s="34"/>
      <c r="H8" s="33"/>
      <c r="I8" s="33"/>
      <c r="J8" s="33">
        <f>$C$28*('E Balans VL '!D13+'E Balans VL '!E13)/100/3.6*1000000</f>
        <v>0</v>
      </c>
      <c r="K8" s="33"/>
      <c r="L8" s="33"/>
      <c r="M8" s="33"/>
      <c r="N8" s="33">
        <f>$C$28*'E Balans VL '!Y13/100/3.6*1000000</f>
        <v>23.736078522160128</v>
      </c>
      <c r="O8" s="33"/>
      <c r="P8" s="33"/>
      <c r="R8" s="32"/>
    </row>
    <row r="9" spans="1:18">
      <c r="A9" s="32" t="s">
        <v>50</v>
      </c>
      <c r="B9" s="37">
        <f t="shared" si="0"/>
        <v>203.532328541146</v>
      </c>
      <c r="C9" s="33"/>
      <c r="D9" s="37">
        <f>IF(ISERROR(TER_gezond_gas_kWh/1000),0,TER_gezond_gas_kWh/1000)*0.902</f>
        <v>441.79281197411746</v>
      </c>
      <c r="E9" s="33">
        <f>$C$29*'E Balans VL '!I10/100/3.6*1000000</f>
        <v>6.9995666387609748E-2</v>
      </c>
      <c r="F9" s="33">
        <f>$C$29*('E Balans VL '!L10+'E Balans VL '!N10)/100/3.6*1000000</f>
        <v>17.789527188309233</v>
      </c>
      <c r="G9" s="34"/>
      <c r="H9" s="33"/>
      <c r="I9" s="33"/>
      <c r="J9" s="33">
        <f>$C$29*('E Balans VL '!D10+'E Balans VL '!E10)/100/3.6*1000000</f>
        <v>8.4426955344914134</v>
      </c>
      <c r="K9" s="33"/>
      <c r="L9" s="33"/>
      <c r="M9" s="33"/>
      <c r="N9" s="33">
        <f>$C$29*'E Balans VL '!Y10/100/3.6*1000000</f>
        <v>2.1339612519352071</v>
      </c>
      <c r="O9" s="33"/>
      <c r="P9" s="33"/>
      <c r="R9" s="32"/>
    </row>
    <row r="10" spans="1:18">
      <c r="A10" s="32" t="s">
        <v>49</v>
      </c>
      <c r="B10" s="37">
        <f t="shared" si="0"/>
        <v>3504.8354722239501</v>
      </c>
      <c r="C10" s="33"/>
      <c r="D10" s="37">
        <f>IF(ISERROR(TER_ander_gas_kWh/1000),0,TER_ander_gas_kWh/1000)*0.902</f>
        <v>14785.527734951274</v>
      </c>
      <c r="E10" s="33">
        <f>$C$30*'E Balans VL '!I14/100/3.6*1000000</f>
        <v>2.0844535393152124</v>
      </c>
      <c r="F10" s="33">
        <f>$C$30*('E Balans VL '!L14+'E Balans VL '!N14)/100/3.6*1000000</f>
        <v>620.54212191945646</v>
      </c>
      <c r="G10" s="34"/>
      <c r="H10" s="33"/>
      <c r="I10" s="33"/>
      <c r="J10" s="33">
        <f>$C$30*('E Balans VL '!D14+'E Balans VL '!E14)/100/3.6*1000000</f>
        <v>0</v>
      </c>
      <c r="K10" s="33"/>
      <c r="L10" s="33"/>
      <c r="M10" s="33"/>
      <c r="N10" s="33">
        <f>$C$30*'E Balans VL '!Y14/100/3.6*1000000</f>
        <v>2081.0518213116552</v>
      </c>
      <c r="O10" s="33"/>
      <c r="P10" s="33"/>
      <c r="R10" s="32"/>
    </row>
    <row r="11" spans="1:18">
      <c r="A11" s="32" t="s">
        <v>54</v>
      </c>
      <c r="B11" s="37">
        <f t="shared" si="0"/>
        <v>1474.1791794025501</v>
      </c>
      <c r="C11" s="33"/>
      <c r="D11" s="37">
        <f>IF(ISERROR(TER_onderwijs_gas_kWh/1000),0,TER_onderwijs_gas_kWh/1000)*0.902</f>
        <v>3833.9775473275181</v>
      </c>
      <c r="E11" s="33">
        <f>$C$31*'E Balans VL '!I11/100/3.6*1000000</f>
        <v>0.98055178943927568</v>
      </c>
      <c r="F11" s="33">
        <f>$C$31*('E Balans VL '!L11+'E Balans VL '!N11)/100/3.6*1000000</f>
        <v>472.29828497444157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22594.333665787599</v>
      </c>
      <c r="C12" s="33"/>
      <c r="D12" s="37">
        <f>IF(ISERROR(TER_rest_gas_kWh/1000),0,TER_rest_gas_kWh/1000)*0.902</f>
        <v>31821.812267903009</v>
      </c>
      <c r="E12" s="33">
        <f>$C$32*'E Balans VL '!I8/100/3.6*1000000</f>
        <v>136.88286758589811</v>
      </c>
      <c r="F12" s="33">
        <f>$C$32*('E Balans VL '!L8+'E Balans VL '!N8)/100/3.6*1000000</f>
        <v>3030.2493371854735</v>
      </c>
      <c r="G12" s="34"/>
      <c r="H12" s="33"/>
      <c r="I12" s="33"/>
      <c r="J12" s="33">
        <f>$C$32*('E Balans VL '!D8+'E Balans VL '!E8)/100/3.6*1000000</f>
        <v>68.805315666552147</v>
      </c>
      <c r="K12" s="33"/>
      <c r="L12" s="33"/>
      <c r="M12" s="33"/>
      <c r="N12" s="33">
        <f>$C$32*'E Balans VL '!Y8/100/3.6*1000000</f>
        <v>1630.2382397103547</v>
      </c>
      <c r="O12" s="33"/>
      <c r="P12" s="33"/>
      <c r="R12" s="32"/>
    </row>
    <row r="13" spans="1:18">
      <c r="A13" s="16" t="s">
        <v>483</v>
      </c>
      <c r="B13" s="245">
        <f ca="1">'lokale energieproductie'!N48+'lokale energieproductie'!N41</f>
        <v>10341</v>
      </c>
      <c r="C13" s="245">
        <f ca="1">'lokale energieproductie'!O48+'lokale energieproductie'!O41</f>
        <v>12857.142857142857</v>
      </c>
      <c r="D13" s="305">
        <f ca="1">('lokale energieproductie'!P41+'lokale energieproductie'!P48)*(-1)</f>
        <v>-25714.285714285717</v>
      </c>
      <c r="E13" s="246"/>
      <c r="F13" s="305">
        <f ca="1">('lokale energieproductie'!S41+'lokale energieproductie'!S48)*(-1)</f>
        <v>0</v>
      </c>
      <c r="G13" s="247"/>
      <c r="H13" s="246"/>
      <c r="I13" s="246"/>
      <c r="J13" s="246"/>
      <c r="K13" s="246"/>
      <c r="L13" s="305">
        <f ca="1">('lokale energieproductie'!U41+'lokale energieproductie'!T41+'lokale energieproductie'!U48+'lokale energieproductie'!T48)*(-1)</f>
        <v>0</v>
      </c>
      <c r="M13" s="246"/>
      <c r="N13" s="305">
        <f ca="1">('lokale energieproductie'!Q41+'lokale energieproductie'!R41+'lokale energieproductie'!V41+'lokale energieproductie'!Q48+'lokale energieproductie'!R48+'lokale energieproductie'!V48)*(-1)</f>
        <v>-3831.4285714285716</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58458.546942918612</v>
      </c>
      <c r="C16" s="21">
        <f t="shared" ca="1" si="1"/>
        <v>12857.142857142857</v>
      </c>
      <c r="D16" s="21">
        <f t="shared" ca="1" si="1"/>
        <v>43260.237695995056</v>
      </c>
      <c r="E16" s="21">
        <f t="shared" si="1"/>
        <v>291.96186269837108</v>
      </c>
      <c r="F16" s="21">
        <f t="shared" ca="1" si="1"/>
        <v>6651.3928611715655</v>
      </c>
      <c r="G16" s="21">
        <f t="shared" si="1"/>
        <v>0</v>
      </c>
      <c r="H16" s="21">
        <f t="shared" si="1"/>
        <v>0</v>
      </c>
      <c r="I16" s="21">
        <f t="shared" si="1"/>
        <v>0</v>
      </c>
      <c r="J16" s="21">
        <f t="shared" si="1"/>
        <v>77.248011201043568</v>
      </c>
      <c r="K16" s="21">
        <f t="shared" si="1"/>
        <v>0</v>
      </c>
      <c r="L16" s="21">
        <f t="shared" ca="1" si="1"/>
        <v>0</v>
      </c>
      <c r="M16" s="21">
        <f t="shared" si="1"/>
        <v>0</v>
      </c>
      <c r="N16" s="21">
        <f t="shared" ca="1" si="1"/>
        <v>0</v>
      </c>
      <c r="O16" s="21">
        <f>O5</f>
        <v>4.6900000000000004</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0.19060218820884273</v>
      </c>
      <c r="C18" s="25">
        <f ca="1">'EF ele_warmte'!B22</f>
        <v>0.22944543783408441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11142.326966829642</v>
      </c>
      <c r="C20" s="23">
        <f t="shared" ref="C20:P20" ca="1" si="2">C16*C18</f>
        <v>2950.0127721525137</v>
      </c>
      <c r="D20" s="23">
        <f t="shared" ca="1" si="2"/>
        <v>8738.5680145910028</v>
      </c>
      <c r="E20" s="23">
        <f t="shared" si="2"/>
        <v>66.275342832530242</v>
      </c>
      <c r="F20" s="23">
        <f t="shared" ca="1" si="2"/>
        <v>1775.9218939328082</v>
      </c>
      <c r="G20" s="23">
        <f t="shared" si="2"/>
        <v>0</v>
      </c>
      <c r="H20" s="23">
        <f t="shared" si="2"/>
        <v>0</v>
      </c>
      <c r="I20" s="23">
        <f t="shared" si="2"/>
        <v>0</v>
      </c>
      <c r="J20" s="23">
        <f t="shared" si="2"/>
        <v>27.345795965169422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9569.1434969502207</v>
      </c>
      <c r="C26" s="39">
        <f>IF(ISERROR(B26*3.6/1000000/'E Balans VL '!Z12*100),0,B26*3.6/1000000/'E Balans VL '!Z12*100)</f>
        <v>0.20055736799822846</v>
      </c>
      <c r="D26" s="235" t="s">
        <v>647</v>
      </c>
      <c r="F26" s="6"/>
    </row>
    <row r="27" spans="1:18">
      <c r="A27" s="230" t="s">
        <v>52</v>
      </c>
      <c r="B27" s="33">
        <f>IF(ISERROR(TER_horeca_ele_kWh/1000),0,TER_horeca_ele_kWh/1000)</f>
        <v>2736.9840463354003</v>
      </c>
      <c r="C27" s="39">
        <f>IF(ISERROR(B27*3.6/1000000/'E Balans VL '!Z9*100),0,B27*3.6/1000000/'E Balans VL '!Z9*100)</f>
        <v>0.20984409587815064</v>
      </c>
      <c r="D27" s="235" t="s">
        <v>647</v>
      </c>
      <c r="F27" s="6"/>
    </row>
    <row r="28" spans="1:18">
      <c r="A28" s="170" t="s">
        <v>51</v>
      </c>
      <c r="B28" s="33">
        <f>IF(ISERROR(TER_handel_ele_kWh/1000),0,TER_handel_ele_kWh/1000)</f>
        <v>8034.5387536777498</v>
      </c>
      <c r="C28" s="39">
        <f>IF(ISERROR(B28*3.6/1000000/'E Balans VL '!Z13*100),0,B28*3.6/1000000/'E Balans VL '!Z13*100)</f>
        <v>0.22666619095086932</v>
      </c>
      <c r="D28" s="235" t="s">
        <v>647</v>
      </c>
      <c r="F28" s="6"/>
    </row>
    <row r="29" spans="1:18">
      <c r="A29" s="230" t="s">
        <v>50</v>
      </c>
      <c r="B29" s="33">
        <f>IF(ISERROR(TER_gezond_ele_kWh/1000),0,TER_gezond_ele_kWh/1000)</f>
        <v>203.532328541146</v>
      </c>
      <c r="C29" s="39">
        <f>IF(ISERROR(B29*3.6/1000000/'E Balans VL '!Z10*100),0,B29*3.6/1000000/'E Balans VL '!Z10*100)</f>
        <v>2.2599733746881918E-2</v>
      </c>
      <c r="D29" s="235" t="s">
        <v>647</v>
      </c>
      <c r="F29" s="6"/>
    </row>
    <row r="30" spans="1:18">
      <c r="A30" s="230" t="s">
        <v>49</v>
      </c>
      <c r="B30" s="33">
        <f>IF(ISERROR(TER_ander_ele_kWh/1000),0,TER_ander_ele_kWh/1000)</f>
        <v>3504.8354722239501</v>
      </c>
      <c r="C30" s="39">
        <f>IF(ISERROR(B30*3.6/1000000/'E Balans VL '!Z14*100),0,B30*3.6/1000000/'E Balans VL '!Z14*100)</f>
        <v>0.25289290930539615</v>
      </c>
      <c r="D30" s="235" t="s">
        <v>647</v>
      </c>
      <c r="F30" s="6"/>
    </row>
    <row r="31" spans="1:18">
      <c r="A31" s="230" t="s">
        <v>54</v>
      </c>
      <c r="B31" s="33">
        <f>IF(ISERROR(TER_onderwijs_ele_kWh/1000),0,TER_onderwijs_ele_kWh/1000)</f>
        <v>1474.1791794025501</v>
      </c>
      <c r="C31" s="39">
        <f>IF(ISERROR(B31*3.6/1000000/'E Balans VL '!Z11*100),0,B31*3.6/1000000/'E Balans VL '!Z11*100)</f>
        <v>0.4086307914036339</v>
      </c>
      <c r="D31" s="235" t="s">
        <v>647</v>
      </c>
    </row>
    <row r="32" spans="1:18">
      <c r="A32" s="230" t="s">
        <v>249</v>
      </c>
      <c r="B32" s="33">
        <f>IF(ISERROR(TER_rest_ele_kWh/1000),0,TER_rest_ele_kWh/1000)</f>
        <v>22594.333665787599</v>
      </c>
      <c r="C32" s="39">
        <f>IF(ISERROR(B32*3.6/1000000/'E Balans VL '!Z8*100),0,B32*3.6/1000000/'E Balans VL '!Z8*100)</f>
        <v>0.184180728545947</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5</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87229.689590968832</v>
      </c>
      <c r="C5" s="17">
        <f>IF(ISERROR('Eigen informatie GS &amp; warmtenet'!B59),0,'Eigen informatie GS &amp; warmtenet'!B59)</f>
        <v>0</v>
      </c>
      <c r="D5" s="30">
        <f>SUM(D6:D15)</f>
        <v>62216.493813216155</v>
      </c>
      <c r="E5" s="17">
        <f>SUM(E6:E15)</f>
        <v>6372.564860744581</v>
      </c>
      <c r="F5" s="17">
        <f>SUM(F6:F15)</f>
        <v>27606.081966684673</v>
      </c>
      <c r="G5" s="18"/>
      <c r="H5" s="17"/>
      <c r="I5" s="17"/>
      <c r="J5" s="17">
        <f>SUM(J6:J15)</f>
        <v>185.40979560013591</v>
      </c>
      <c r="K5" s="17"/>
      <c r="L5" s="17"/>
      <c r="M5" s="17"/>
      <c r="N5" s="17">
        <f>SUM(N6:N15)</f>
        <v>5554.0134143278774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1256.9236703111799</v>
      </c>
      <c r="C8" s="33"/>
      <c r="D8" s="37">
        <f>IF( ISERROR(IND_metaal_Gas_kWH/1000),0,IND_metaal_Gas_kWH/1000)*0.902</f>
        <v>677.0920341012162</v>
      </c>
      <c r="E8" s="33">
        <f>C30*'E Balans VL '!I18/100/3.6*1000000</f>
        <v>36.10356572400871</v>
      </c>
      <c r="F8" s="33">
        <f>C30*'E Balans VL '!L18/100/3.6*1000000+C30*'E Balans VL '!N18/100/3.6*1000000</f>
        <v>322.37674731854423</v>
      </c>
      <c r="G8" s="34"/>
      <c r="H8" s="33"/>
      <c r="I8" s="33"/>
      <c r="J8" s="40">
        <f>C30*'E Balans VL '!D18/100/3.6*1000000+C30*'E Balans VL '!E18/100/3.6*1000000</f>
        <v>0</v>
      </c>
      <c r="K8" s="33"/>
      <c r="L8" s="33"/>
      <c r="M8" s="33"/>
      <c r="N8" s="33">
        <f>C30*'E Balans VL '!Y18/100/3.6*1000000</f>
        <v>34.128043393668499</v>
      </c>
      <c r="O8" s="33"/>
      <c r="P8" s="33"/>
      <c r="R8" s="32"/>
    </row>
    <row r="9" spans="1:18">
      <c r="A9" s="6" t="s">
        <v>32</v>
      </c>
      <c r="B9" s="37">
        <f t="shared" si="0"/>
        <v>7348.1822609246601</v>
      </c>
      <c r="C9" s="33"/>
      <c r="D9" s="37">
        <f>IF( ISERROR(IND_andere_gas_kWh/1000),0,IND_andere_gas_kWh/1000)*0.902</f>
        <v>1102.2485093418918</v>
      </c>
      <c r="E9" s="33">
        <f>C31*'E Balans VL '!I19/100/3.6*1000000</f>
        <v>1988.9722679778533</v>
      </c>
      <c r="F9" s="33">
        <f>C31*'E Balans VL '!L19/100/3.6*1000000+C31*'E Balans VL '!N19/100/3.6*1000000</f>
        <v>4894.6669858921114</v>
      </c>
      <c r="G9" s="34"/>
      <c r="H9" s="33"/>
      <c r="I9" s="33"/>
      <c r="J9" s="40">
        <f>C31*'E Balans VL '!D19/100/3.6*1000000+C31*'E Balans VL '!E19/100/3.6*1000000</f>
        <v>0</v>
      </c>
      <c r="K9" s="33"/>
      <c r="L9" s="33"/>
      <c r="M9" s="33"/>
      <c r="N9" s="33">
        <f>C31*'E Balans VL '!Y19/100/3.6*1000000</f>
        <v>621.24013401221453</v>
      </c>
      <c r="O9" s="33"/>
      <c r="P9" s="33"/>
      <c r="R9" s="32"/>
    </row>
    <row r="10" spans="1:18">
      <c r="A10" s="6" t="s">
        <v>40</v>
      </c>
      <c r="B10" s="37">
        <f t="shared" si="0"/>
        <v>3471.6095998506203</v>
      </c>
      <c r="C10" s="33"/>
      <c r="D10" s="37">
        <f>IF( ISERROR(IND_voed_gas_kWh/1000),0,IND_voed_gas_kWh/1000)*0.902</f>
        <v>250.43999162125436</v>
      </c>
      <c r="E10" s="33">
        <f>C32*'E Balans VL '!I20/100/3.6*1000000</f>
        <v>283.15245477933075</v>
      </c>
      <c r="F10" s="33">
        <f>C32*'E Balans VL '!L20/100/3.6*1000000+C32*'E Balans VL '!N20/100/3.6*1000000</f>
        <v>5176.4848853984286</v>
      </c>
      <c r="G10" s="34"/>
      <c r="H10" s="33"/>
      <c r="I10" s="33"/>
      <c r="J10" s="40">
        <f>C32*'E Balans VL '!D20/100/3.6*1000000+C32*'E Balans VL '!E20/100/3.6*1000000</f>
        <v>4.5925181037275969E-2</v>
      </c>
      <c r="K10" s="33"/>
      <c r="L10" s="33"/>
      <c r="M10" s="33"/>
      <c r="N10" s="33">
        <f>C32*'E Balans VL '!Y20/100/3.6*1000000</f>
        <v>1019.8364005422349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2831.7401896269698</v>
      </c>
      <c r="C13" s="33"/>
      <c r="D13" s="37">
        <f>IF( ISERROR(IND_papier_gas_kWh/1000),0,IND_papier_gas_kWh/1000)*0.902</f>
        <v>0</v>
      </c>
      <c r="E13" s="33">
        <f>C35*'E Balans VL '!I23/100/3.6*1000000</f>
        <v>29.667637287386619</v>
      </c>
      <c r="F13" s="33">
        <f>C35*'E Balans VL '!L23/100/3.6*1000000+C35*'E Balans VL '!N23/100/3.6*1000000</f>
        <v>211.30495486467956</v>
      </c>
      <c r="G13" s="34"/>
      <c r="H13" s="33"/>
      <c r="I13" s="33"/>
      <c r="J13" s="40">
        <f>C35*'E Balans VL '!D23/100/3.6*1000000+C35*'E Balans VL '!E23/100/3.6*1000000</f>
        <v>0</v>
      </c>
      <c r="K13" s="33"/>
      <c r="L13" s="33"/>
      <c r="M13" s="33"/>
      <c r="N13" s="33">
        <f>C35*'E Balans VL '!Y23/100/3.6*1000000</f>
        <v>522.39483573643372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72321.233870255397</v>
      </c>
      <c r="C15" s="33"/>
      <c r="D15" s="37">
        <f>IF( ISERROR(IND_rest_gas_kWh/1000),0,IND_rest_gas_kWh/1000)*0.902</f>
        <v>60186.713278151794</v>
      </c>
      <c r="E15" s="33">
        <f>C37*'E Balans VL '!I15/100/3.6*1000000</f>
        <v>4034.6689349760018</v>
      </c>
      <c r="F15" s="33">
        <f>C37*'E Balans VL '!L15/100/3.6*1000000+C37*'E Balans VL '!N15/100/3.6*1000000</f>
        <v>17001.248393210906</v>
      </c>
      <c r="G15" s="34"/>
      <c r="H15" s="33"/>
      <c r="I15" s="33"/>
      <c r="J15" s="40">
        <f>C37*'E Balans VL '!D15/100/3.6*1000000+C37*'E Balans VL '!E15/100/3.6*1000000</f>
        <v>185.36387041909865</v>
      </c>
      <c r="K15" s="33"/>
      <c r="L15" s="33"/>
      <c r="M15" s="33"/>
      <c r="N15" s="33">
        <f>C37*'E Balans VL '!Y15/100/3.6*1000000</f>
        <v>3356.4140006433263</v>
      </c>
      <c r="O15" s="33"/>
      <c r="P15" s="33"/>
      <c r="R15" s="32"/>
    </row>
    <row r="16" spans="1:18">
      <c r="A16" s="16" t="s">
        <v>483</v>
      </c>
      <c r="B16" s="245">
        <f>'lokale energieproductie'!N47+'lokale energieproductie'!N40</f>
        <v>549</v>
      </c>
      <c r="C16" s="245">
        <f>'lokale energieproductie'!O47+'lokale energieproductie'!O40</f>
        <v>784.28571428571433</v>
      </c>
      <c r="D16" s="305">
        <f>('lokale energieproductie'!P40+'lokale energieproductie'!P47)*(-1)</f>
        <v>-1568.5714285714287</v>
      </c>
      <c r="E16" s="246"/>
      <c r="F16" s="305">
        <f>('lokale energieproductie'!S40+'lokale energieproductie'!S47)*(-1)</f>
        <v>0</v>
      </c>
      <c r="G16" s="247"/>
      <c r="H16" s="246"/>
      <c r="I16" s="246"/>
      <c r="J16" s="246"/>
      <c r="K16" s="246"/>
      <c r="L16" s="305">
        <f>('lokale energieproductie'!T40+'lokale energieproductie'!U40+'lokale energieproductie'!T47+'lokale energieproductie'!U47)*(-1)</f>
        <v>0</v>
      </c>
      <c r="M16" s="246"/>
      <c r="N16" s="305">
        <f>('lokale energieproductie'!Q40+'lokale energieproductie'!R40+'lokale energieproductie'!V40+'lokale energieproductie'!Q47+'lokale energieproductie'!R47+'lokale energieproductie'!V47)*(-1)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87778.689590968832</v>
      </c>
      <c r="C18" s="21">
        <f>C5+C16</f>
        <v>784.28571428571433</v>
      </c>
      <c r="D18" s="21">
        <f>MAX((D5+D16),0)</f>
        <v>60647.922384644728</v>
      </c>
      <c r="E18" s="21">
        <f>MAX((E5+E16),0)</f>
        <v>6372.564860744581</v>
      </c>
      <c r="F18" s="21">
        <f>MAX((F5+F16),0)</f>
        <v>27606.081966684673</v>
      </c>
      <c r="G18" s="21"/>
      <c r="H18" s="21"/>
      <c r="I18" s="21"/>
      <c r="J18" s="21">
        <f>MAX((J5+J16),0)</f>
        <v>185.40979560013591</v>
      </c>
      <c r="K18" s="21"/>
      <c r="L18" s="21">
        <f>MAX((L5+L16),0)</f>
        <v>0</v>
      </c>
      <c r="M18" s="21"/>
      <c r="N18" s="21">
        <f>MAX((N5+N16),0)</f>
        <v>5554.0134143278774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0.19060218820884273</v>
      </c>
      <c r="C20" s="25">
        <f ca="1">'EF ele_warmte'!B22</f>
        <v>0.22944543783408441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16730.810314143426</v>
      </c>
      <c r="C22" s="23">
        <f ca="1">C18*C20</f>
        <v>179.95077910130337</v>
      </c>
      <c r="D22" s="23">
        <f>D18*D20</f>
        <v>12250.880321698236</v>
      </c>
      <c r="E22" s="23">
        <f>E18*E20</f>
        <v>1446.5722233890199</v>
      </c>
      <c r="F22" s="23">
        <f>F18*F20</f>
        <v>7370.8238851048081</v>
      </c>
      <c r="G22" s="23"/>
      <c r="H22" s="23"/>
      <c r="I22" s="23"/>
      <c r="J22" s="23">
        <f>J18*J20</f>
        <v>65.635067642448107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1256.9236703111799</v>
      </c>
      <c r="C30" s="39">
        <f>IF(ISERROR(B30*3.6/1000000/'E Balans VL '!Z18*100),0,B30*3.6/1000000/'E Balans VL '!Z18*100)</f>
        <v>0.12367808057428441</v>
      </c>
      <c r="D30" s="235" t="s">
        <v>647</v>
      </c>
    </row>
    <row r="31" spans="1:18">
      <c r="A31" s="6" t="s">
        <v>32</v>
      </c>
      <c r="B31" s="37">
        <f>IF( ISERROR(IND_ander_ele_kWh/1000),0,IND_ander_ele_kWh/1000)</f>
        <v>7348.1822609246601</v>
      </c>
      <c r="C31" s="39">
        <f>IF(ISERROR(B31*3.6/1000000/'E Balans VL '!Z19*100),0,B31*3.6/1000000/'E Balans VL '!Z19*100)</f>
        <v>0.32000747587601985</v>
      </c>
      <c r="D31" s="235" t="s">
        <v>647</v>
      </c>
    </row>
    <row r="32" spans="1:18">
      <c r="A32" s="170" t="s">
        <v>40</v>
      </c>
      <c r="B32" s="37">
        <f>IF( ISERROR(IND_voed_ele_kWh/1000),0,IND_voed_ele_kWh/1000)</f>
        <v>3471.6095998506203</v>
      </c>
      <c r="C32" s="39">
        <f>IF(ISERROR(B32*3.6/1000000/'E Balans VL '!Z20*100),0,B32*3.6/1000000/'E Balans VL '!Z20*100)</f>
        <v>0.65868785551468922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2831.7401896269698</v>
      </c>
      <c r="C35" s="39">
        <f>IF(ISERROR(B35*3.6/1000000/'E Balans VL '!Z22*100),0,B35*3.6/1000000/'E Balans VL '!Z22*100)</f>
        <v>0.39817110611021372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72321.233870255397</v>
      </c>
      <c r="C37" s="39">
        <f>IF(ISERROR(B37*3.6/1000000/'E Balans VL '!Z15*100),0,B37*3.6/1000000/'E Balans VL '!Z15*100)</f>
        <v>0.55732393575565897</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21023.338741562369</v>
      </c>
      <c r="C5" s="17">
        <f>'Eigen informatie GS &amp; warmtenet'!B60</f>
        <v>0</v>
      </c>
      <c r="D5" s="30">
        <f>IF(ISERROR(SUM(LB_lb_gas_kWh,LB_rest_gas_kWh)/1000),0,SUM(LB_lb_gas_kWh,LB_rest_gas_kWh)/1000)*0.902</f>
        <v>179892.04477446515</v>
      </c>
      <c r="E5" s="17">
        <f>B17*'E Balans VL '!I25/3.6*1000000/100</f>
        <v>436.54353548959261</v>
      </c>
      <c r="F5" s="17">
        <f>B17*('E Balans VL '!L25/3.6*1000000+'E Balans VL '!N25/3.6*1000000)/100</f>
        <v>74297.015566880465</v>
      </c>
      <c r="G5" s="18"/>
      <c r="H5" s="17"/>
      <c r="I5" s="17"/>
      <c r="J5" s="17">
        <f>('E Balans VL '!D25+'E Balans VL '!E25)/3.6*1000000*landbouw!B17/100</f>
        <v>2411.2439846067718</v>
      </c>
      <c r="K5" s="17"/>
      <c r="L5" s="17">
        <f>L6*(-1)</f>
        <v>7020</v>
      </c>
      <c r="M5" s="17"/>
      <c r="N5" s="17">
        <f>N6*(-1)</f>
        <v>342.96428571428572</v>
      </c>
      <c r="O5" s="17"/>
      <c r="P5" s="17"/>
      <c r="R5" s="32"/>
    </row>
    <row r="6" spans="1:18">
      <c r="A6" s="16" t="s">
        <v>483</v>
      </c>
      <c r="B6" s="17" t="s">
        <v>204</v>
      </c>
      <c r="C6" s="17">
        <f>'lokale energieproductie'!O49+'lokale energieproductie'!O42</f>
        <v>81654.910714285696</v>
      </c>
      <c r="D6" s="305">
        <f>('lokale energieproductie'!P42+'lokale energieproductie'!P49)*(-1)</f>
        <v>-154542.85714285713</v>
      </c>
      <c r="E6" s="246"/>
      <c r="F6" s="305">
        <f>('lokale energieproductie'!S42+'lokale energieproductie'!S49)*(-1)</f>
        <v>-2340</v>
      </c>
      <c r="G6" s="247"/>
      <c r="H6" s="246"/>
      <c r="I6" s="246"/>
      <c r="J6" s="246"/>
      <c r="K6" s="246"/>
      <c r="L6" s="305">
        <f>('lokale energieproductie'!T42+'lokale energieproductie'!U42+'lokale energieproductie'!T49+'lokale energieproductie'!U49)*(-1)</f>
        <v>-7020</v>
      </c>
      <c r="M6" s="246"/>
      <c r="N6" s="978">
        <f>('lokale energieproductie'!V42+'lokale energieproductie'!R42+'lokale energieproductie'!Q42+'lokale energieproductie'!Q49+'lokale energieproductie'!R49+'lokale energieproductie'!V49)*(-1)</f>
        <v>-342.96428571428572</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21023.338741562369</v>
      </c>
      <c r="C8" s="21">
        <f>C5+C6</f>
        <v>81654.910714285696</v>
      </c>
      <c r="D8" s="21">
        <f>MAX((D5+D6),0)</f>
        <v>25349.187631608016</v>
      </c>
      <c r="E8" s="21">
        <f>MAX((E5+E6),0)</f>
        <v>436.54353548959261</v>
      </c>
      <c r="F8" s="21">
        <f>MAX((F5+F6),0)</f>
        <v>71957.015566880465</v>
      </c>
      <c r="G8" s="21"/>
      <c r="H8" s="21"/>
      <c r="I8" s="21"/>
      <c r="J8" s="21">
        <f>MAX((J5+J6),0)</f>
        <v>2411.2439846067718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0.19060218820884273</v>
      </c>
      <c r="C10" s="31">
        <f ca="1">'EF ele_warmte'!B22</f>
        <v>0.22944543783408441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4007.0943675975254</v>
      </c>
      <c r="C12" s="23">
        <f ca="1">C8*C10</f>
        <v>18735.346740142351</v>
      </c>
      <c r="D12" s="23">
        <f>D8*D10</f>
        <v>5120.5359015848198</v>
      </c>
      <c r="E12" s="23">
        <f>E8*E10</f>
        <v>99.095382556137523</v>
      </c>
      <c r="F12" s="23">
        <f>F8*F10</f>
        <v>19212.523156357085</v>
      </c>
      <c r="G12" s="23"/>
      <c r="H12" s="23"/>
      <c r="I12" s="23"/>
      <c r="J12" s="23">
        <f>J8*J10</f>
        <v>853.58037055079717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2.9320931372732923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1579.5214308567022</v>
      </c>
      <c r="C26" s="245">
        <f>B26*'GWP N2O_CH4'!B5</f>
        <v>33169.950047990744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1351.9142723834291</v>
      </c>
      <c r="C27" s="245">
        <f>B27*'GWP N2O_CH4'!B5</f>
        <v>28390.199720052009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27.750341064703058</v>
      </c>
      <c r="C28" s="245">
        <f>B28*'GWP N2O_CH4'!B4</f>
        <v>8602.6057300579487</v>
      </c>
      <c r="D28" s="50"/>
    </row>
    <row r="29" spans="1:4">
      <c r="A29" s="41" t="s">
        <v>266</v>
      </c>
      <c r="B29" s="245">
        <f>B34*'ha_N2O bodem landbouw'!B4</f>
        <v>36.92511314105095</v>
      </c>
      <c r="C29" s="245">
        <f>B29*'GWP N2O_CH4'!B4</f>
        <v>11446.785073725794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9.2198317852919959E-3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7.3890233562118118E-5</v>
      </c>
      <c r="C5" s="434" t="s">
        <v>204</v>
      </c>
      <c r="D5" s="419">
        <f>SUM(D6:D11)</f>
        <v>6.6253262911725706E-5</v>
      </c>
      <c r="E5" s="419">
        <f>SUM(E6:E11)</f>
        <v>2.6255125575757737E-3</v>
      </c>
      <c r="F5" s="432" t="s">
        <v>204</v>
      </c>
      <c r="G5" s="419">
        <f>SUM(G6:G11)</f>
        <v>0.94231651399146488</v>
      </c>
      <c r="H5" s="419">
        <f>SUM(H6:H11)</f>
        <v>0.12405794862444007</v>
      </c>
      <c r="I5" s="434" t="s">
        <v>204</v>
      </c>
      <c r="J5" s="434" t="s">
        <v>204</v>
      </c>
      <c r="K5" s="434" t="s">
        <v>204</v>
      </c>
      <c r="L5" s="434" t="s">
        <v>204</v>
      </c>
      <c r="M5" s="419">
        <f>SUM(M6:M11)</f>
        <v>4.8201569990715773E-2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2.1173703423961635E-5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1.8781243134087992E-5</v>
      </c>
      <c r="E6" s="836">
        <f>vkm_GW_PW*SUMIFS(TableVerdeelsleutelVkm[LPG],TableVerdeelsleutelVkm[Voertuigtype],"Lichte voertuigen")*SUMIFS(TableECFTransport[EnergieConsumptieFactor (PJ per km)],TableECFTransport[Index],CONCATENATE($A6,"_LPG_LPG"))</f>
        <v>6.7441894025873955E-4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0.13407072957310734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3.460954296714356E-2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7.6311274013443967E-3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5.5321241458531701E-7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8.656951738710178E-2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2.2772621721585728E-6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3.9087609545145159E-3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1.1027422664866754E-5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1.538904209125095E-5</v>
      </c>
      <c r="E8" s="422">
        <f>vkm_NGW_PW*SUMIFS(TableVerdeelsleutelVkm[LPG],TableVerdeelsleutelVkm[Voertuigtype],"Lichte voertuigen")*SUMIFS(TableECFTransport[EnergieConsumptieFactor (PJ per km)],TableECFTransport[Index],CONCATENATE($A8,"_LPG_LPG"))</f>
        <v>5.2463553364522975E-4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9.8394602297306968E-2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2.718204659028791E-2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5.6817304729380892E-3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3.0686412046041885E-8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6.1682112882015944E-3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1.5246974470466634E-7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2.7850478481550078E-4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3.8708097247027911E-5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3.2082977686386753E-5</v>
      </c>
      <c r="E10" s="422">
        <f>vkm_SW_PW*SUMIFS(TableVerdeelsleutelVkm[LPG],TableVerdeelsleutelVkm[Voertuigtype],"Lichte voertuigen")*SUMIFS(TableECFTransport[EnergieConsumptieFactor (PJ per km)],TableECFTransport[Index],CONCATENATE($A10,"_LPG_LPG"))</f>
        <v>1.4264580836718043E-3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0.25970996095156068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6.2253772935691218E-2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1.4564036385500901E-2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2.3971113996304541E-6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0.3574034924941864</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1.0156399400511037E-5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1.6137409991602372E-2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20.525064878366141</v>
      </c>
      <c r="C14" s="21"/>
      <c r="D14" s="21">
        <f t="shared" ref="D14:M14" si="0">((D5)*10^9/3600)+D12</f>
        <v>18.403684142146027</v>
      </c>
      <c r="E14" s="21">
        <f t="shared" si="0"/>
        <v>729.30904377104832</v>
      </c>
      <c r="F14" s="21"/>
      <c r="G14" s="21">
        <f t="shared" si="0"/>
        <v>261754.58721985135</v>
      </c>
      <c r="H14" s="21">
        <f t="shared" si="0"/>
        <v>34460.541284566687</v>
      </c>
      <c r="I14" s="21"/>
      <c r="J14" s="21"/>
      <c r="K14" s="21"/>
      <c r="L14" s="21"/>
      <c r="M14" s="21">
        <f t="shared" si="0"/>
        <v>13389.324997421048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0.19060218820884273</v>
      </c>
      <c r="C16" s="56">
        <f ca="1">'EF ele_warmte'!B22</f>
        <v>0.22944543783408441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3.9121222789450507</v>
      </c>
      <c r="C18" s="23"/>
      <c r="D18" s="23">
        <f t="shared" ref="D18:M18" si="1">D14*D16</f>
        <v>3.7175441967134977</v>
      </c>
      <c r="E18" s="23">
        <f t="shared" si="1"/>
        <v>165.55315293602797</v>
      </c>
      <c r="F18" s="23"/>
      <c r="G18" s="23">
        <f t="shared" si="1"/>
        <v>69888.47478770031</v>
      </c>
      <c r="H18" s="23">
        <f t="shared" si="1"/>
        <v>8580.674779857105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3.3085926989742114E-5</v>
      </c>
      <c r="C50" s="316">
        <f t="shared" ref="C50:P50" si="2">SUM(C51:C52)</f>
        <v>0</v>
      </c>
      <c r="D50" s="316">
        <f t="shared" si="2"/>
        <v>0</v>
      </c>
      <c r="E50" s="316">
        <f t="shared" si="2"/>
        <v>0</v>
      </c>
      <c r="F50" s="316">
        <f t="shared" si="2"/>
        <v>0</v>
      </c>
      <c r="G50" s="316">
        <f t="shared" si="2"/>
        <v>6.4399884753744861E-3</v>
      </c>
      <c r="H50" s="316">
        <f t="shared" si="2"/>
        <v>0</v>
      </c>
      <c r="I50" s="316">
        <f t="shared" si="2"/>
        <v>0</v>
      </c>
      <c r="J50" s="316">
        <f t="shared" si="2"/>
        <v>0</v>
      </c>
      <c r="K50" s="316">
        <f t="shared" si="2"/>
        <v>0</v>
      </c>
      <c r="L50" s="316">
        <f t="shared" si="2"/>
        <v>0</v>
      </c>
      <c r="M50" s="316">
        <f t="shared" si="2"/>
        <v>2.8877449453478232E-4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3.3085926989742114E-5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6.4399884753744861E-3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2.8877449453478232E-4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9.1905352749283633</v>
      </c>
      <c r="C54" s="21">
        <f t="shared" ref="C54:P54" si="3">(C50)*10^9/3600</f>
        <v>0</v>
      </c>
      <c r="D54" s="21">
        <f t="shared" si="3"/>
        <v>0</v>
      </c>
      <c r="E54" s="21">
        <f t="shared" si="3"/>
        <v>0</v>
      </c>
      <c r="F54" s="21">
        <f t="shared" si="3"/>
        <v>0</v>
      </c>
      <c r="G54" s="21">
        <f t="shared" si="3"/>
        <v>1788.885687604024</v>
      </c>
      <c r="H54" s="21">
        <f t="shared" si="3"/>
        <v>0</v>
      </c>
      <c r="I54" s="21">
        <f t="shared" si="3"/>
        <v>0</v>
      </c>
      <c r="J54" s="21">
        <f t="shared" si="3"/>
        <v>0</v>
      </c>
      <c r="K54" s="21">
        <f t="shared" si="3"/>
        <v>0</v>
      </c>
      <c r="L54" s="21">
        <f t="shared" si="3"/>
        <v>0</v>
      </c>
      <c r="M54" s="21">
        <f t="shared" si="3"/>
        <v>80.215137370772865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0.19060218820884273</v>
      </c>
      <c r="C56" s="56">
        <f ca="1">'EF ele_warmte'!B22</f>
        <v>0.22944543783408441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1.751736134211904</v>
      </c>
      <c r="C58" s="23">
        <f t="shared" ref="C58:P58" ca="1" si="4">C54*C56</f>
        <v>0</v>
      </c>
      <c r="D58" s="23">
        <f t="shared" si="4"/>
        <v>0</v>
      </c>
      <c r="E58" s="23">
        <f t="shared" si="4"/>
        <v>0</v>
      </c>
      <c r="F58" s="23">
        <f t="shared" si="4"/>
        <v>0</v>
      </c>
      <c r="G58" s="23">
        <f t="shared" si="4"/>
        <v>477.63247859027445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61"/>
  <sheetViews>
    <sheetView showGridLines="0" zoomScale="65" zoomScaleNormal="65" workbookViewId="0">
      <selection activeCell="A28" sqref="A28:XFD3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22081.854630000002</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7955.9276380596566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N39</f>
        <v>67503.037499999991</v>
      </c>
      <c r="C8" s="546">
        <f>B58</f>
        <v>75392.10685092675</v>
      </c>
      <c r="D8" s="963"/>
      <c r="E8" s="963">
        <f>E58</f>
        <v>970.25621884236114</v>
      </c>
      <c r="F8" s="964"/>
      <c r="G8" s="547"/>
      <c r="H8" s="963">
        <f>I58</f>
        <v>0</v>
      </c>
      <c r="I8" s="963">
        <f>G58+F58</f>
        <v>2910.7686565270833</v>
      </c>
      <c r="J8" s="963">
        <f>H58+D58+C58</f>
        <v>142.20650899791198</v>
      </c>
      <c r="K8" s="963"/>
      <c r="L8" s="963"/>
      <c r="M8" s="963"/>
      <c r="N8" s="548"/>
      <c r="O8" s="549">
        <f>C8*$C$12+D8*$D$12+E8*$E$12+F8*$F$12+G8*$G$12+H8*$H$12+I8*$I$12+J8*$J$12</f>
        <v>15488.263994318115</v>
      </c>
      <c r="P8" s="1206"/>
      <c r="Q8" s="1207"/>
      <c r="S8" s="975"/>
      <c r="T8" s="1227"/>
      <c r="U8" s="1227"/>
    </row>
    <row r="9" spans="1:21" s="534" customFormat="1" ht="17.45" customHeight="1" thickBot="1">
      <c r="A9" s="550" t="s">
        <v>237</v>
      </c>
      <c r="B9" s="551">
        <f>N46+'Eigen informatie GS &amp; warmtenet'!B12</f>
        <v>1341</v>
      </c>
      <c r="C9" s="552">
        <f>P46+IF(ISERROR(('Eigen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(T46+U46)+IF(ISERROR('Eigen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V46+Q46+R46+IF(ISERROR('Eigen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98881.81976805965</v>
      </c>
      <c r="C10" s="559">
        <f t="shared" ref="C10:L10" si="0">SUM(C8:C9)</f>
        <v>75392.10685092675</v>
      </c>
      <c r="D10" s="559">
        <f t="shared" si="0"/>
        <v>0</v>
      </c>
      <c r="E10" s="559">
        <f t="shared" si="0"/>
        <v>970.25621884236114</v>
      </c>
      <c r="F10" s="559">
        <f t="shared" si="0"/>
        <v>0</v>
      </c>
      <c r="G10" s="559">
        <f t="shared" si="0"/>
        <v>0</v>
      </c>
      <c r="H10" s="559">
        <f t="shared" si="0"/>
        <v>0</v>
      </c>
      <c r="I10" s="559">
        <f t="shared" si="0"/>
        <v>2910.7686565270833</v>
      </c>
      <c r="J10" s="559">
        <f t="shared" si="0"/>
        <v>3973.6350804264835</v>
      </c>
      <c r="K10" s="559">
        <f t="shared" si="0"/>
        <v>0</v>
      </c>
      <c r="L10" s="559">
        <f t="shared" si="0"/>
        <v>0</v>
      </c>
      <c r="M10" s="966"/>
      <c r="N10" s="966"/>
      <c r="O10" s="560">
        <f>SUM(O4:O9)</f>
        <v>15488.263994318115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O39</f>
        <v>95296.339285714275</v>
      </c>
      <c r="C17" s="571">
        <f>B59</f>
        <v>106433.60743478751</v>
      </c>
      <c r="D17" s="572"/>
      <c r="E17" s="572">
        <f>E59</f>
        <v>1369.743781157639</v>
      </c>
      <c r="F17" s="969"/>
      <c r="G17" s="573"/>
      <c r="H17" s="571">
        <f>I59</f>
        <v>0</v>
      </c>
      <c r="I17" s="572">
        <f>G59+F59</f>
        <v>4109.2313434729167</v>
      </c>
      <c r="J17" s="572">
        <f>H59+D59+C59</f>
        <v>200.75777671637374</v>
      </c>
      <c r="K17" s="572"/>
      <c r="L17" s="572"/>
      <c r="M17" s="572"/>
      <c r="N17" s="970"/>
      <c r="O17" s="574">
        <f>C17*$C$22+E17*$E$22+H17*$H$22+I17*$I$22+J17*$J$22+D17*$D$22+F17*$F$22+G17*$G$22+K17*$K$22+L17*$L$22</f>
        <v>21865.310291396167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95296.339285714275</v>
      </c>
      <c r="C20" s="558">
        <f>SUM(C17:C19)</f>
        <v>106433.60743478751</v>
      </c>
      <c r="D20" s="558">
        <f t="shared" ref="D20:L20" si="1">SUM(D17:D19)</f>
        <v>0</v>
      </c>
      <c r="E20" s="558">
        <f t="shared" si="1"/>
        <v>1369.743781157639</v>
      </c>
      <c r="F20" s="558">
        <f t="shared" si="1"/>
        <v>0</v>
      </c>
      <c r="G20" s="558">
        <f t="shared" si="1"/>
        <v>0</v>
      </c>
      <c r="H20" s="558">
        <f t="shared" si="1"/>
        <v>0</v>
      </c>
      <c r="I20" s="558">
        <f t="shared" si="1"/>
        <v>4109.2313434729167</v>
      </c>
      <c r="J20" s="558">
        <f t="shared" si="1"/>
        <v>200.75777671637374</v>
      </c>
      <c r="K20" s="558">
        <f t="shared" si="1"/>
        <v>0</v>
      </c>
      <c r="L20" s="558">
        <f t="shared" si="1"/>
        <v>0</v>
      </c>
      <c r="M20" s="558"/>
      <c r="N20" s="558"/>
      <c r="O20" s="578">
        <f>SUM(O17:O19)</f>
        <v>21865.310291396167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13014</v>
      </c>
      <c r="C28" s="741">
        <v>2321</v>
      </c>
      <c r="D28" s="630"/>
      <c r="E28" s="629"/>
      <c r="F28" s="629"/>
      <c r="G28" s="629" t="s">
        <v>908</v>
      </c>
      <c r="H28" s="629" t="s">
        <v>909</v>
      </c>
      <c r="I28" s="629"/>
      <c r="J28" s="740"/>
      <c r="K28" s="740"/>
      <c r="L28" s="629" t="s">
        <v>910</v>
      </c>
      <c r="M28" s="629">
        <v>2000</v>
      </c>
      <c r="N28" s="629">
        <v>9000</v>
      </c>
      <c r="O28" s="629">
        <v>12857.142857142857</v>
      </c>
      <c r="P28" s="629">
        <v>25714.285714285717</v>
      </c>
      <c r="Q28" s="629">
        <v>0</v>
      </c>
      <c r="R28" s="629">
        <v>0</v>
      </c>
      <c r="S28" s="629">
        <v>0</v>
      </c>
      <c r="T28" s="629">
        <v>0</v>
      </c>
      <c r="U28" s="629">
        <v>0</v>
      </c>
      <c r="V28" s="629">
        <v>0</v>
      </c>
      <c r="W28" s="629">
        <v>0</v>
      </c>
      <c r="X28" s="629"/>
      <c r="Y28" s="629">
        <v>1600</v>
      </c>
      <c r="Z28" s="629" t="s">
        <v>49</v>
      </c>
      <c r="AA28" s="631" t="s">
        <v>149</v>
      </c>
    </row>
    <row r="29" spans="1:27" s="583" customFormat="1" ht="25.5" hidden="1">
      <c r="A29" s="582"/>
      <c r="B29" s="741">
        <v>13014</v>
      </c>
      <c r="C29" s="741">
        <v>2321</v>
      </c>
      <c r="D29" s="630"/>
      <c r="E29" s="629"/>
      <c r="F29" s="629"/>
      <c r="G29" s="629" t="s">
        <v>908</v>
      </c>
      <c r="H29" s="629" t="s">
        <v>909</v>
      </c>
      <c r="I29" s="629"/>
      <c r="J29" s="740"/>
      <c r="K29" s="740"/>
      <c r="L29" s="629" t="s">
        <v>910</v>
      </c>
      <c r="M29" s="629">
        <v>2028</v>
      </c>
      <c r="N29" s="629">
        <v>9126</v>
      </c>
      <c r="O29" s="629">
        <v>13037.142857142857</v>
      </c>
      <c r="P29" s="629">
        <v>26074.285714285717</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13014</v>
      </c>
      <c r="C30" s="741">
        <v>2321</v>
      </c>
      <c r="D30" s="630"/>
      <c r="E30" s="629"/>
      <c r="F30" s="629"/>
      <c r="G30" s="629" t="s">
        <v>908</v>
      </c>
      <c r="H30" s="629" t="s">
        <v>909</v>
      </c>
      <c r="I30" s="629"/>
      <c r="J30" s="740"/>
      <c r="K30" s="740"/>
      <c r="L30" s="629" t="s">
        <v>910</v>
      </c>
      <c r="M30" s="629">
        <v>1556</v>
      </c>
      <c r="N30" s="629">
        <v>7002</v>
      </c>
      <c r="O30" s="629">
        <v>10002.857142857143</v>
      </c>
      <c r="P30" s="629">
        <v>20005.714285714286</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13014</v>
      </c>
      <c r="C31" s="741">
        <v>2321</v>
      </c>
      <c r="D31" s="630"/>
      <c r="E31" s="629"/>
      <c r="F31" s="629"/>
      <c r="G31" s="629" t="s">
        <v>908</v>
      </c>
      <c r="H31" s="629" t="s">
        <v>909</v>
      </c>
      <c r="I31" s="629"/>
      <c r="J31" s="740"/>
      <c r="K31" s="740"/>
      <c r="L31" s="629" t="s">
        <v>910</v>
      </c>
      <c r="M31" s="629">
        <v>1998</v>
      </c>
      <c r="N31" s="629">
        <v>8991</v>
      </c>
      <c r="O31" s="629">
        <v>12844.285714285714</v>
      </c>
      <c r="P31" s="629">
        <v>25688.571428571431</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13014</v>
      </c>
      <c r="C32" s="741">
        <v>2321</v>
      </c>
      <c r="D32" s="630"/>
      <c r="E32" s="629"/>
      <c r="F32" s="629"/>
      <c r="G32" s="629" t="s">
        <v>908</v>
      </c>
      <c r="H32" s="629" t="s">
        <v>909</v>
      </c>
      <c r="I32" s="629"/>
      <c r="J32" s="740"/>
      <c r="K32" s="740"/>
      <c r="L32" s="629" t="s">
        <v>910</v>
      </c>
      <c r="M32" s="629">
        <v>5774</v>
      </c>
      <c r="N32" s="629">
        <v>25983</v>
      </c>
      <c r="O32" s="629">
        <v>37118.571428571428</v>
      </c>
      <c r="P32" s="629">
        <v>74237.142857142855</v>
      </c>
      <c r="Q32" s="629">
        <v>0</v>
      </c>
      <c r="R32" s="629">
        <v>0</v>
      </c>
      <c r="S32" s="629">
        <v>0</v>
      </c>
      <c r="T32" s="629">
        <v>0</v>
      </c>
      <c r="U32" s="629">
        <v>0</v>
      </c>
      <c r="V32" s="629">
        <v>0</v>
      </c>
      <c r="W32" s="629">
        <v>0</v>
      </c>
      <c r="X32" s="629"/>
      <c r="Y32" s="629">
        <v>10</v>
      </c>
      <c r="Z32" s="629" t="s">
        <v>105</v>
      </c>
      <c r="AA32" s="631" t="s">
        <v>105</v>
      </c>
    </row>
    <row r="33" spans="1:27" s="583" customFormat="1" ht="25.5" hidden="1">
      <c r="A33" s="582"/>
      <c r="B33" s="741">
        <v>13014</v>
      </c>
      <c r="C33" s="741">
        <v>2320</v>
      </c>
      <c r="D33" s="630"/>
      <c r="E33" s="629"/>
      <c r="F33" s="629"/>
      <c r="G33" s="629" t="s">
        <v>908</v>
      </c>
      <c r="H33" s="629" t="s">
        <v>909</v>
      </c>
      <c r="I33" s="629"/>
      <c r="J33" s="740"/>
      <c r="K33" s="740"/>
      <c r="L33" s="629" t="s">
        <v>910</v>
      </c>
      <c r="M33" s="629">
        <v>122</v>
      </c>
      <c r="N33" s="629">
        <v>549</v>
      </c>
      <c r="O33" s="629">
        <v>784.28571428571433</v>
      </c>
      <c r="P33" s="629">
        <v>1568.5714285714287</v>
      </c>
      <c r="Q33" s="629">
        <v>0</v>
      </c>
      <c r="R33" s="629">
        <v>0</v>
      </c>
      <c r="S33" s="629">
        <v>0</v>
      </c>
      <c r="T33" s="629">
        <v>0</v>
      </c>
      <c r="U33" s="629">
        <v>0</v>
      </c>
      <c r="V33" s="629">
        <v>0</v>
      </c>
      <c r="W33" s="629">
        <v>0</v>
      </c>
      <c r="X33" s="629"/>
      <c r="Y33" s="629">
        <v>400</v>
      </c>
      <c r="Z33" s="629" t="s">
        <v>36</v>
      </c>
      <c r="AA33" s="631" t="s">
        <v>377</v>
      </c>
    </row>
    <row r="34" spans="1:27" s="583" customFormat="1" ht="38.25" hidden="1">
      <c r="A34" s="582"/>
      <c r="B34" s="741">
        <v>13014</v>
      </c>
      <c r="C34" s="741">
        <v>2328</v>
      </c>
      <c r="D34" s="630"/>
      <c r="E34" s="629"/>
      <c r="F34" s="629"/>
      <c r="G34" s="629" t="s">
        <v>908</v>
      </c>
      <c r="H34" s="629" t="s">
        <v>911</v>
      </c>
      <c r="I34" s="629"/>
      <c r="J34" s="740"/>
      <c r="K34" s="740"/>
      <c r="L34" s="629" t="s">
        <v>912</v>
      </c>
      <c r="M34" s="629">
        <v>832</v>
      </c>
      <c r="N34" s="629">
        <v>3744</v>
      </c>
      <c r="O34" s="629">
        <v>4212</v>
      </c>
      <c r="P34" s="629">
        <v>0</v>
      </c>
      <c r="Q34" s="629">
        <v>0</v>
      </c>
      <c r="R34" s="629">
        <v>0</v>
      </c>
      <c r="S34" s="629">
        <v>2340</v>
      </c>
      <c r="T34" s="629">
        <v>7020</v>
      </c>
      <c r="U34" s="629">
        <v>0</v>
      </c>
      <c r="V34" s="629">
        <v>0</v>
      </c>
      <c r="W34" s="629">
        <v>0</v>
      </c>
      <c r="X34" s="629"/>
      <c r="Y34" s="629">
        <v>10</v>
      </c>
      <c r="Z34" s="629" t="s">
        <v>105</v>
      </c>
      <c r="AA34" s="631" t="s">
        <v>105</v>
      </c>
    </row>
    <row r="35" spans="1:27" s="583" customFormat="1" ht="25.5" hidden="1">
      <c r="A35" s="582"/>
      <c r="B35" s="741">
        <v>13014</v>
      </c>
      <c r="C35" s="741">
        <v>2321</v>
      </c>
      <c r="D35" s="630"/>
      <c r="E35" s="629"/>
      <c r="F35" s="629"/>
      <c r="G35" s="629" t="s">
        <v>908</v>
      </c>
      <c r="H35" s="629" t="s">
        <v>909</v>
      </c>
      <c r="I35" s="629"/>
      <c r="J35" s="740"/>
      <c r="K35" s="740"/>
      <c r="L35" s="629" t="s">
        <v>910</v>
      </c>
      <c r="M35" s="629">
        <v>404</v>
      </c>
      <c r="N35" s="629">
        <v>1818.0000000000002</v>
      </c>
      <c r="O35" s="629">
        <v>2597.1428571428573</v>
      </c>
      <c r="P35" s="629">
        <v>5194.2857142857156</v>
      </c>
      <c r="Q35" s="629">
        <v>0</v>
      </c>
      <c r="R35" s="629">
        <v>0</v>
      </c>
      <c r="S35" s="629">
        <v>0</v>
      </c>
      <c r="T35" s="629">
        <v>0</v>
      </c>
      <c r="U35" s="629">
        <v>0</v>
      </c>
      <c r="V35" s="629">
        <v>0</v>
      </c>
      <c r="W35" s="629">
        <v>0</v>
      </c>
      <c r="X35" s="629"/>
      <c r="Y35" s="629">
        <v>10</v>
      </c>
      <c r="Z35" s="629" t="s">
        <v>105</v>
      </c>
      <c r="AA35" s="631" t="s">
        <v>105</v>
      </c>
    </row>
    <row r="36" spans="1:27" s="583" customFormat="1" ht="25.5" hidden="1">
      <c r="A36" s="582"/>
      <c r="B36" s="741">
        <v>13014</v>
      </c>
      <c r="C36" s="741">
        <v>2322</v>
      </c>
      <c r="D36" s="630"/>
      <c r="E36" s="629"/>
      <c r="F36" s="629"/>
      <c r="G36" s="629" t="s">
        <v>908</v>
      </c>
      <c r="H36" s="629" t="s">
        <v>909</v>
      </c>
      <c r="I36" s="629"/>
      <c r="J36" s="740"/>
      <c r="K36" s="740"/>
      <c r="L36" s="629" t="s">
        <v>910</v>
      </c>
      <c r="M36" s="629">
        <v>9.6999999999999993</v>
      </c>
      <c r="N36" s="629">
        <v>40.012499999999996</v>
      </c>
      <c r="O36" s="629">
        <v>57.160714285714278</v>
      </c>
      <c r="P36" s="629">
        <v>0</v>
      </c>
      <c r="Q36" s="629">
        <v>114.32142857142857</v>
      </c>
      <c r="R36" s="629">
        <v>0</v>
      </c>
      <c r="S36" s="629">
        <v>0</v>
      </c>
      <c r="T36" s="629">
        <v>0</v>
      </c>
      <c r="U36" s="629">
        <v>0</v>
      </c>
      <c r="V36" s="629">
        <v>0</v>
      </c>
      <c r="W36" s="629">
        <v>0</v>
      </c>
      <c r="X36" s="629"/>
      <c r="Y36" s="629">
        <v>10</v>
      </c>
      <c r="Z36" s="629" t="s">
        <v>105</v>
      </c>
      <c r="AA36" s="631" t="s">
        <v>105</v>
      </c>
    </row>
    <row r="37" spans="1:27" s="583" customFormat="1" ht="25.5" hidden="1">
      <c r="A37" s="582"/>
      <c r="B37" s="741">
        <v>13014</v>
      </c>
      <c r="C37" s="741">
        <v>2322</v>
      </c>
      <c r="D37" s="630"/>
      <c r="E37" s="629"/>
      <c r="F37" s="629"/>
      <c r="G37" s="629" t="s">
        <v>908</v>
      </c>
      <c r="H37" s="629" t="s">
        <v>909</v>
      </c>
      <c r="I37" s="629"/>
      <c r="J37" s="740"/>
      <c r="K37" s="740"/>
      <c r="L37" s="629" t="s">
        <v>910</v>
      </c>
      <c r="M37" s="629">
        <v>19.399999999999999</v>
      </c>
      <c r="N37" s="629">
        <v>80.024999999999991</v>
      </c>
      <c r="O37" s="629">
        <v>114.32142857142856</v>
      </c>
      <c r="P37" s="629">
        <v>0</v>
      </c>
      <c r="Q37" s="629">
        <v>228.64285714285714</v>
      </c>
      <c r="R37" s="629">
        <v>0</v>
      </c>
      <c r="S37" s="629">
        <v>0</v>
      </c>
      <c r="T37" s="629">
        <v>0</v>
      </c>
      <c r="U37" s="629">
        <v>0</v>
      </c>
      <c r="V37" s="629">
        <v>0</v>
      </c>
      <c r="W37" s="629">
        <v>0</v>
      </c>
      <c r="X37" s="629"/>
      <c r="Y37" s="629">
        <v>10</v>
      </c>
      <c r="Z37" s="629" t="s">
        <v>105</v>
      </c>
      <c r="AA37" s="631" t="s">
        <v>105</v>
      </c>
    </row>
    <row r="38" spans="1:27" s="583" customFormat="1" ht="25.5" hidden="1">
      <c r="A38" s="582"/>
      <c r="B38" s="741">
        <v>13014</v>
      </c>
      <c r="C38" s="741">
        <v>2321</v>
      </c>
      <c r="D38" s="630"/>
      <c r="E38" s="629"/>
      <c r="F38" s="629"/>
      <c r="G38" s="629" t="s">
        <v>908</v>
      </c>
      <c r="H38" s="629" t="s">
        <v>909</v>
      </c>
      <c r="I38" s="629"/>
      <c r="J38" s="740"/>
      <c r="K38" s="740"/>
      <c r="L38" s="629" t="s">
        <v>910</v>
      </c>
      <c r="M38" s="629">
        <v>1560</v>
      </c>
      <c r="N38" s="629">
        <v>1170</v>
      </c>
      <c r="O38" s="629">
        <v>1671.4285714285716</v>
      </c>
      <c r="P38" s="629">
        <v>3342.8571428571431</v>
      </c>
      <c r="Q38" s="629">
        <v>0</v>
      </c>
      <c r="R38" s="629">
        <v>0</v>
      </c>
      <c r="S38" s="629">
        <v>0</v>
      </c>
      <c r="T38" s="629">
        <v>0</v>
      </c>
      <c r="U38" s="629">
        <v>0</v>
      </c>
      <c r="V38" s="629">
        <v>0</v>
      </c>
      <c r="W38" s="629">
        <v>0</v>
      </c>
      <c r="X38" s="629"/>
      <c r="Y38" s="629">
        <v>10</v>
      </c>
      <c r="Z38" s="629" t="s">
        <v>105</v>
      </c>
      <c r="AA38" s="631" t="s">
        <v>105</v>
      </c>
    </row>
    <row r="39" spans="1:27" s="566" customFormat="1" hidden="1">
      <c r="A39" s="585" t="s">
        <v>269</v>
      </c>
      <c r="B39" s="586"/>
      <c r="C39" s="586"/>
      <c r="D39" s="586"/>
      <c r="E39" s="586"/>
      <c r="F39" s="586"/>
      <c r="G39" s="586"/>
      <c r="H39" s="586"/>
      <c r="I39" s="586"/>
      <c r="J39" s="586"/>
      <c r="K39" s="586"/>
      <c r="L39" s="587"/>
      <c r="M39" s="587">
        <f>SUM(M28:M38)</f>
        <v>16303.1</v>
      </c>
      <c r="N39" s="587">
        <f>SUM(N28:N38)</f>
        <v>67503.037499999991</v>
      </c>
      <c r="O39" s="587">
        <f>SUM(O28:O38)</f>
        <v>95296.339285714275</v>
      </c>
      <c r="P39" s="587">
        <f>SUM(P28:P38)</f>
        <v>181825.71428571426</v>
      </c>
      <c r="Q39" s="587">
        <f>SUM(Q28:Q38)</f>
        <v>342.96428571428572</v>
      </c>
      <c r="R39" s="587">
        <f>SUM(R28:R38)</f>
        <v>0</v>
      </c>
      <c r="S39" s="587">
        <f>SUM(S28:S38)</f>
        <v>2340</v>
      </c>
      <c r="T39" s="587">
        <f>SUM(T28:T38)</f>
        <v>7020</v>
      </c>
      <c r="U39" s="587">
        <f>SUM(U28:U38)</f>
        <v>0</v>
      </c>
      <c r="V39" s="587">
        <f>SUM(V28:V38)</f>
        <v>0</v>
      </c>
      <c r="W39" s="587">
        <f>SUM(W28:W38)</f>
        <v>0</v>
      </c>
      <c r="X39" s="587"/>
      <c r="Y39" s="588"/>
      <c r="Z39" s="588"/>
      <c r="AA39" s="589"/>
    </row>
    <row r="40" spans="1:27" s="566" customFormat="1">
      <c r="A40" s="585" t="s">
        <v>276</v>
      </c>
      <c r="B40" s="586"/>
      <c r="C40" s="586"/>
      <c r="D40" s="586"/>
      <c r="E40" s="586"/>
      <c r="F40" s="586"/>
      <c r="G40" s="586"/>
      <c r="H40" s="586"/>
      <c r="I40" s="586"/>
      <c r="J40" s="586"/>
      <c r="K40" s="586"/>
      <c r="L40" s="587"/>
      <c r="M40" s="587">
        <f>SUMIF($AA$28:$AA$38,"industrie",M28:M38)</f>
        <v>122</v>
      </c>
      <c r="N40" s="587">
        <f>SUMIF($AA$28:$AA$38,"industrie",N28:N38)</f>
        <v>549</v>
      </c>
      <c r="O40" s="587">
        <f>SUMIF($AA$28:$AA$38,"industrie",O28:O38)</f>
        <v>784.28571428571433</v>
      </c>
      <c r="P40" s="587">
        <f>SUMIF($AA$28:$AA$38,"industrie",P28:P38)</f>
        <v>1568.5714285714287</v>
      </c>
      <c r="Q40" s="587">
        <f>SUMIF($AA$28:$AA$38,"industrie",Q28:Q38)</f>
        <v>0</v>
      </c>
      <c r="R40" s="587">
        <f>SUMIF($AA$28:$AA$38,"industrie",R28:R38)</f>
        <v>0</v>
      </c>
      <c r="S40" s="587">
        <f>SUMIF($AA$28:$AA$38,"industrie",S28:S38)</f>
        <v>0</v>
      </c>
      <c r="T40" s="587">
        <f>SUMIF($AA$28:$AA$38,"industrie",T28:T38)</f>
        <v>0</v>
      </c>
      <c r="U40" s="587">
        <f>SUMIF($AA$28:$AA$38,"industrie",U28:U38)</f>
        <v>0</v>
      </c>
      <c r="V40" s="587">
        <f>SUMIF($AA$28:$AA$38,"industrie",V28:V38)</f>
        <v>0</v>
      </c>
      <c r="W40" s="587">
        <f>SUMIF($AA$28:$AA$38,"industrie",W28:W38)</f>
        <v>0</v>
      </c>
      <c r="X40" s="587"/>
      <c r="Y40" s="588"/>
      <c r="Z40" s="588"/>
      <c r="AA40" s="589"/>
    </row>
    <row r="41" spans="1:27" s="566" customFormat="1">
      <c r="A41" s="585" t="s">
        <v>277</v>
      </c>
      <c r="B41" s="586"/>
      <c r="C41" s="586"/>
      <c r="D41" s="586"/>
      <c r="E41" s="586"/>
      <c r="F41" s="586"/>
      <c r="G41" s="586"/>
      <c r="H41" s="586"/>
      <c r="I41" s="586"/>
      <c r="J41" s="586"/>
      <c r="K41" s="586"/>
      <c r="L41" s="587"/>
      <c r="M41" s="587">
        <f ca="1">SUMIF($AA$28:AD38,"tertiair",M28:M38)</f>
        <v>2000</v>
      </c>
      <c r="N41" s="587">
        <f ca="1">SUMIF($AA$28:AE38,"tertiair",N28:N38)</f>
        <v>9000</v>
      </c>
      <c r="O41" s="587">
        <f ca="1">SUMIF($AA$28:AF38,"tertiair",O28:O38)</f>
        <v>12857.142857142857</v>
      </c>
      <c r="P41" s="587">
        <f ca="1">SUMIF($AA$28:AG38,"tertiair",P28:P38)</f>
        <v>25714.285714285717</v>
      </c>
      <c r="Q41" s="587">
        <f ca="1">SUMIF($AA$28:AH38,"tertiair",Q28:Q38)</f>
        <v>0</v>
      </c>
      <c r="R41" s="587">
        <f ca="1">SUMIF($AA$28:AI38,"tertiair",R28:R38)</f>
        <v>0</v>
      </c>
      <c r="S41" s="587">
        <f ca="1">SUMIF($AA$28:AJ38,"tertiair",S28:S38)</f>
        <v>0</v>
      </c>
      <c r="T41" s="587">
        <f ca="1">SUMIF($AA$28:AK38,"tertiair",T28:T38)</f>
        <v>0</v>
      </c>
      <c r="U41" s="587">
        <f ca="1">SUMIF($AA$28:AL38,"tertiair",U28:U38)</f>
        <v>0</v>
      </c>
      <c r="V41" s="587">
        <f ca="1">SUMIF($AA$28:AM38,"tertiair",V28:V38)</f>
        <v>0</v>
      </c>
      <c r="W41" s="587">
        <f ca="1">SUMIF($AA$28:AN38,"tertiair",W28:W38)</f>
        <v>0</v>
      </c>
      <c r="X41" s="587"/>
      <c r="Y41" s="588"/>
      <c r="Z41" s="588"/>
      <c r="AA41" s="589"/>
    </row>
    <row r="42" spans="1:27" s="566" customFormat="1" ht="15.75" thickBot="1">
      <c r="A42" s="590" t="s">
        <v>278</v>
      </c>
      <c r="B42" s="591"/>
      <c r="C42" s="591"/>
      <c r="D42" s="591"/>
      <c r="E42" s="591"/>
      <c r="F42" s="591"/>
      <c r="G42" s="591"/>
      <c r="H42" s="591"/>
      <c r="I42" s="591"/>
      <c r="J42" s="591"/>
      <c r="K42" s="591"/>
      <c r="L42" s="592"/>
      <c r="M42" s="592">
        <f>SUMIF($AA$28:$AA$38,"landbouw",M28:M38)</f>
        <v>14181.1</v>
      </c>
      <c r="N42" s="592">
        <f>SUMIF($AA$28:$AA$38,"landbouw",N28:N38)</f>
        <v>57954.037499999999</v>
      </c>
      <c r="O42" s="592">
        <f>SUMIF($AA$28:$AA$38,"landbouw",O28:O38)</f>
        <v>81654.910714285696</v>
      </c>
      <c r="P42" s="592">
        <f>SUMIF($AA$28:$AA$38,"landbouw",P28:P38)</f>
        <v>154542.85714285713</v>
      </c>
      <c r="Q42" s="592">
        <f>SUMIF($AA$28:$AA$38,"landbouw",Q28:Q38)</f>
        <v>342.96428571428572</v>
      </c>
      <c r="R42" s="592">
        <f>SUMIF($AA$28:$AA$38,"landbouw",R28:R38)</f>
        <v>0</v>
      </c>
      <c r="S42" s="592">
        <f>SUMIF($AA$28:$AA$38,"landbouw",S28:S38)</f>
        <v>2340</v>
      </c>
      <c r="T42" s="592">
        <f>SUMIF($AA$28:$AA$38,"landbouw",T28:T38)</f>
        <v>7020</v>
      </c>
      <c r="U42" s="592">
        <f>SUMIF($AA$28:$AA$38,"landbouw",U28:U38)</f>
        <v>0</v>
      </c>
      <c r="V42" s="592">
        <f>SUMIF($AA$28:$AA$38,"landbouw",V28:V38)</f>
        <v>0</v>
      </c>
      <c r="W42" s="592">
        <f>SUMIF($AA$28:$AA$38,"landbouw",W28:W38)</f>
        <v>0</v>
      </c>
      <c r="X42" s="592"/>
      <c r="Y42" s="593"/>
      <c r="Z42" s="593"/>
      <c r="AA42" s="594"/>
    </row>
    <row r="43" spans="1:27" s="534" customFormat="1" ht="15.75" thickBot="1">
      <c r="A43" s="595"/>
      <c r="B43" s="596"/>
      <c r="C43" s="596"/>
      <c r="D43" s="596"/>
      <c r="E43" s="596"/>
      <c r="F43" s="596"/>
      <c r="G43" s="596"/>
      <c r="H43" s="596"/>
      <c r="I43" s="596"/>
      <c r="J43" s="596"/>
      <c r="K43" s="596"/>
      <c r="L43" s="579"/>
      <c r="M43" s="579"/>
      <c r="N43" s="579"/>
      <c r="O43" s="580"/>
      <c r="P43" s="580"/>
    </row>
    <row r="44" spans="1:27" s="534" customFormat="1" ht="45">
      <c r="A44" s="597" t="s">
        <v>270</v>
      </c>
      <c r="B44" s="626" t="s">
        <v>89</v>
      </c>
      <c r="C44" s="626" t="s">
        <v>90</v>
      </c>
      <c r="D44" s="626"/>
      <c r="E44" s="626"/>
      <c r="F44" s="626"/>
      <c r="G44" s="626" t="s">
        <v>91</v>
      </c>
      <c r="H44" s="626" t="s">
        <v>92</v>
      </c>
      <c r="I44" s="626"/>
      <c r="J44" s="626"/>
      <c r="K44" s="626"/>
      <c r="L44" s="626" t="s">
        <v>93</v>
      </c>
      <c r="M44" s="627" t="s">
        <v>287</v>
      </c>
      <c r="N44" s="627" t="s">
        <v>94</v>
      </c>
      <c r="O44" s="627" t="s">
        <v>95</v>
      </c>
      <c r="P44" s="627" t="s">
        <v>528</v>
      </c>
      <c r="Q44" s="627" t="s">
        <v>96</v>
      </c>
      <c r="R44" s="627" t="s">
        <v>97</v>
      </c>
      <c r="S44" s="627" t="s">
        <v>98</v>
      </c>
      <c r="T44" s="627" t="s">
        <v>99</v>
      </c>
      <c r="U44" s="627" t="s">
        <v>100</v>
      </c>
      <c r="V44" s="627" t="s">
        <v>101</v>
      </c>
      <c r="W44" s="626" t="s">
        <v>102</v>
      </c>
      <c r="X44" s="626" t="s">
        <v>907</v>
      </c>
      <c r="Y44" s="626" t="s">
        <v>288</v>
      </c>
      <c r="Z44" s="626" t="s">
        <v>103</v>
      </c>
      <c r="AA44" s="628" t="s">
        <v>289</v>
      </c>
    </row>
    <row r="45" spans="1:27" s="598" customFormat="1" ht="63.75" hidden="1">
      <c r="A45" s="584"/>
      <c r="B45" s="741">
        <v>13014</v>
      </c>
      <c r="C45" s="741">
        <v>2320</v>
      </c>
      <c r="D45" s="632"/>
      <c r="E45" s="632"/>
      <c r="F45" s="632"/>
      <c r="G45" s="632" t="s">
        <v>913</v>
      </c>
      <c r="H45" s="632" t="s">
        <v>914</v>
      </c>
      <c r="I45" s="632"/>
      <c r="J45" s="740"/>
      <c r="K45" s="740"/>
      <c r="L45" s="632" t="s">
        <v>915</v>
      </c>
      <c r="M45" s="632">
        <v>298</v>
      </c>
      <c r="N45" s="632">
        <v>1341</v>
      </c>
      <c r="O45" s="632">
        <v>0</v>
      </c>
      <c r="P45" s="632">
        <v>0</v>
      </c>
      <c r="Q45" s="632">
        <v>3831.4285714285716</v>
      </c>
      <c r="R45" s="632">
        <v>0</v>
      </c>
      <c r="S45" s="632">
        <v>0</v>
      </c>
      <c r="T45" s="632">
        <v>0</v>
      </c>
      <c r="U45" s="632">
        <v>0</v>
      </c>
      <c r="V45" s="632">
        <v>0</v>
      </c>
      <c r="W45" s="632">
        <v>0</v>
      </c>
      <c r="X45" s="632"/>
      <c r="Y45" s="632">
        <v>1600</v>
      </c>
      <c r="Z45" s="632" t="s">
        <v>49</v>
      </c>
      <c r="AA45" s="633" t="s">
        <v>149</v>
      </c>
    </row>
    <row r="46" spans="1:27" s="566" customFormat="1" hidden="1">
      <c r="A46" s="585" t="s">
        <v>269</v>
      </c>
      <c r="B46" s="586"/>
      <c r="C46" s="586"/>
      <c r="D46" s="586"/>
      <c r="E46" s="586"/>
      <c r="F46" s="586"/>
      <c r="G46" s="586"/>
      <c r="H46" s="586"/>
      <c r="I46" s="586"/>
      <c r="J46" s="586"/>
      <c r="K46" s="586"/>
      <c r="L46" s="587"/>
      <c r="M46" s="587">
        <f>SUM(M45:M45)</f>
        <v>298</v>
      </c>
      <c r="N46" s="587">
        <f>SUM(N45:N45)</f>
        <v>1341</v>
      </c>
      <c r="O46" s="587">
        <f>SUM(O45:O45)</f>
        <v>0</v>
      </c>
      <c r="P46" s="587">
        <f>SUM(P45:P45)</f>
        <v>0</v>
      </c>
      <c r="Q46" s="587">
        <f>SUM(Q45:Q45)</f>
        <v>3831.4285714285716</v>
      </c>
      <c r="R46" s="587">
        <f>SUM(R45:R45)</f>
        <v>0</v>
      </c>
      <c r="S46" s="587">
        <f>SUM(S45:S45)</f>
        <v>0</v>
      </c>
      <c r="T46" s="587">
        <f>SUM(T45:T45)</f>
        <v>0</v>
      </c>
      <c r="U46" s="587">
        <f>SUM(U45:U45)</f>
        <v>0</v>
      </c>
      <c r="V46" s="587">
        <f>SUM(V45:V45)</f>
        <v>0</v>
      </c>
      <c r="W46" s="587">
        <f>SUM(W45:W45)</f>
        <v>0</v>
      </c>
      <c r="X46" s="587"/>
      <c r="Y46" s="588"/>
      <c r="Z46" s="588"/>
      <c r="AA46" s="589"/>
    </row>
    <row r="47" spans="1:27" s="566" customFormat="1">
      <c r="A47" s="585" t="s">
        <v>276</v>
      </c>
      <c r="B47" s="586"/>
      <c r="C47" s="586"/>
      <c r="D47" s="586"/>
      <c r="E47" s="586"/>
      <c r="F47" s="586"/>
      <c r="G47" s="586"/>
      <c r="H47" s="586"/>
      <c r="I47" s="586"/>
      <c r="J47" s="586"/>
      <c r="K47" s="586"/>
      <c r="L47" s="587"/>
      <c r="M47" s="587">
        <f>SUMIF($AA$45:$AA$45,"industrie",M45:M45)</f>
        <v>0</v>
      </c>
      <c r="N47" s="587">
        <f>SUMIF($AA$45:$AA$45,"industrie",N45:N45)</f>
        <v>0</v>
      </c>
      <c r="O47" s="587">
        <f>SUMIF($AA$45:$AA$45,"industrie",O45:O45)</f>
        <v>0</v>
      </c>
      <c r="P47" s="587">
        <f>SUMIF($AA$45:$AA$45,"industrie",P45:P45)</f>
        <v>0</v>
      </c>
      <c r="Q47" s="587">
        <f>SUMIF($AA$45:$AA$45,"industrie",Q45:Q45)</f>
        <v>0</v>
      </c>
      <c r="R47" s="587">
        <f>SUMIF($AA$45:$AA$45,"industrie",R45:R45)</f>
        <v>0</v>
      </c>
      <c r="S47" s="587">
        <f>SUMIF($AA$45:$AA$45,"industrie",S45:S45)</f>
        <v>0</v>
      </c>
      <c r="T47" s="587">
        <f>SUMIF($AA$45:$AA$45,"industrie",T45:T45)</f>
        <v>0</v>
      </c>
      <c r="U47" s="587">
        <f>SUMIF($AA$45:$AA$45,"industrie",U45:U45)</f>
        <v>0</v>
      </c>
      <c r="V47" s="587">
        <f>SUMIF($AA$45:$AA$45,"industrie",V45:V45)</f>
        <v>0</v>
      </c>
      <c r="W47" s="587">
        <f>SUMIF($AA$45:$AA$45,"industrie",W45:W45)</f>
        <v>0</v>
      </c>
      <c r="X47" s="587"/>
      <c r="Y47" s="588"/>
      <c r="Z47" s="588"/>
      <c r="AA47" s="589"/>
    </row>
    <row r="48" spans="1:27" s="566" customFormat="1">
      <c r="A48" s="585" t="s">
        <v>277</v>
      </c>
      <c r="B48" s="586"/>
      <c r="C48" s="586"/>
      <c r="D48" s="586"/>
      <c r="E48" s="586"/>
      <c r="F48" s="586"/>
      <c r="G48" s="586"/>
      <c r="H48" s="586"/>
      <c r="I48" s="586"/>
      <c r="J48" s="586"/>
      <c r="K48" s="586"/>
      <c r="L48" s="587"/>
      <c r="M48" s="587">
        <f>SUMIF($AA$45:$AA$46,"tertiair",M45:M46)</f>
        <v>298</v>
      </c>
      <c r="N48" s="587">
        <f>SUMIF($AA$45:$AA$46,"tertiair",N45:N46)</f>
        <v>1341</v>
      </c>
      <c r="O48" s="587">
        <f>SUMIF($AA$45:$AA$46,"tertiair",O45:O46)</f>
        <v>0</v>
      </c>
      <c r="P48" s="587">
        <f>SUMIF($AA$45:$AA$46,"tertiair",P45:P46)</f>
        <v>0</v>
      </c>
      <c r="Q48" s="587">
        <f>SUMIF($AA$45:$AA$46,"tertiair",Q45:Q46)</f>
        <v>3831.4285714285716</v>
      </c>
      <c r="R48" s="587">
        <f>SUMIF($AA$45:$AA$46,"tertiair",R45:R46)</f>
        <v>0</v>
      </c>
      <c r="S48" s="587">
        <f>SUMIF($AA$45:$AA$46,"tertiair",S45:S46)</f>
        <v>0</v>
      </c>
      <c r="T48" s="587">
        <f>SUMIF($AA$45:$AA$46,"tertiair",T45:T46)</f>
        <v>0</v>
      </c>
      <c r="U48" s="587">
        <f>SUMIF($AA$45:$AA$46,"tertiair",U45:U46)</f>
        <v>0</v>
      </c>
      <c r="V48" s="587">
        <f>SUMIF($AA$45:$AA$46,"tertiair",V45:V46)</f>
        <v>0</v>
      </c>
      <c r="W48" s="587">
        <f>SUMIF($AA$45:$AA$46,"tertiair",W45:W46)</f>
        <v>0</v>
      </c>
      <c r="X48" s="587"/>
      <c r="Y48" s="588"/>
      <c r="Z48" s="588"/>
      <c r="AA48" s="589"/>
    </row>
    <row r="49" spans="1:28" s="566" customFormat="1" ht="15.75" thickBot="1">
      <c r="A49" s="590" t="s">
        <v>278</v>
      </c>
      <c r="B49" s="591"/>
      <c r="C49" s="591"/>
      <c r="D49" s="591"/>
      <c r="E49" s="591"/>
      <c r="F49" s="591"/>
      <c r="G49" s="591"/>
      <c r="H49" s="591"/>
      <c r="I49" s="591"/>
      <c r="J49" s="591"/>
      <c r="K49" s="591"/>
      <c r="L49" s="592"/>
      <c r="M49" s="592">
        <f>SUMIF($AA$45:$AA$47,"landbouw",M45:M47)</f>
        <v>0</v>
      </c>
      <c r="N49" s="592">
        <f>SUMIF($AA$45:$AA$47,"landbouw",N45:N47)</f>
        <v>0</v>
      </c>
      <c r="O49" s="592">
        <f>SUMIF($AA$45:$AA$47,"landbouw",O45:O47)</f>
        <v>0</v>
      </c>
      <c r="P49" s="592">
        <f>SUMIF($AA$45:$AA$47,"landbouw",P45:P47)</f>
        <v>0</v>
      </c>
      <c r="Q49" s="592">
        <f>SUMIF($AA$45:$AA$47,"landbouw",Q45:Q47)</f>
        <v>0</v>
      </c>
      <c r="R49" s="592">
        <f>SUMIF($AA$45:$AA$47,"landbouw",R45:R47)</f>
        <v>0</v>
      </c>
      <c r="S49" s="592">
        <f>SUMIF($AA$45:$AA$47,"landbouw",S45:S47)</f>
        <v>0</v>
      </c>
      <c r="T49" s="592">
        <f>SUMIF($AA$45:$AA$47,"landbouw",T45:T47)</f>
        <v>0</v>
      </c>
      <c r="U49" s="592">
        <f>SUMIF($AA$45:$AA$47,"landbouw",U45:U47)</f>
        <v>0</v>
      </c>
      <c r="V49" s="592">
        <f>SUMIF($AA$45:$AA$47,"landbouw",V45:V47)</f>
        <v>0</v>
      </c>
      <c r="W49" s="592">
        <f>SUMIF($AA$45:$AA$47,"landbouw",W45:W47)</f>
        <v>0</v>
      </c>
      <c r="X49" s="592"/>
      <c r="Y49" s="593"/>
      <c r="Z49" s="593"/>
      <c r="AA49" s="594"/>
    </row>
    <row r="50" spans="1:28" s="599" customFormat="1">
      <c r="A50" s="595"/>
      <c r="B50" s="579"/>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row>
    <row r="51" spans="1:28" s="599" customFormat="1" ht="15.75" thickBot="1">
      <c r="A51" s="595"/>
      <c r="B51" s="579"/>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row>
    <row r="52" spans="1:28">
      <c r="A52" s="600" t="s">
        <v>271</v>
      </c>
      <c r="B52" s="601"/>
      <c r="C52" s="601"/>
      <c r="D52" s="601"/>
      <c r="E52" s="601"/>
      <c r="F52" s="601"/>
      <c r="G52" s="601"/>
      <c r="H52" s="601"/>
      <c r="I52" s="602"/>
      <c r="J52" s="603"/>
      <c r="K52" s="603"/>
      <c r="L52" s="604"/>
      <c r="M52" s="604"/>
      <c r="N52" s="604"/>
      <c r="O52" s="604"/>
      <c r="P52" s="604"/>
    </row>
    <row r="53" spans="1:28">
      <c r="A53" s="606"/>
      <c r="B53" s="596"/>
      <c r="C53" s="596"/>
      <c r="D53" s="596"/>
      <c r="E53" s="596"/>
      <c r="F53" s="596"/>
      <c r="G53" s="596"/>
      <c r="H53" s="596"/>
      <c r="I53" s="607"/>
      <c r="J53" s="596"/>
      <c r="K53" s="596"/>
      <c r="L53" s="604"/>
      <c r="M53" s="604"/>
      <c r="N53" s="604"/>
      <c r="O53" s="604"/>
      <c r="P53" s="604"/>
    </row>
    <row r="54" spans="1:28">
      <c r="A54" s="608"/>
      <c r="B54" s="609" t="s">
        <v>272</v>
      </c>
      <c r="C54" s="609" t="s">
        <v>273</v>
      </c>
      <c r="D54" s="609"/>
      <c r="E54" s="609"/>
      <c r="F54" s="609"/>
      <c r="G54" s="609"/>
      <c r="H54" s="609"/>
      <c r="I54" s="610"/>
      <c r="J54" s="609"/>
      <c r="K54" s="609"/>
      <c r="L54" s="609"/>
      <c r="M54" s="609"/>
      <c r="N54" s="609"/>
      <c r="O54" s="609"/>
      <c r="P54" s="604"/>
    </row>
    <row r="55" spans="1:28">
      <c r="A55" s="606" t="s">
        <v>269</v>
      </c>
      <c r="B55" s="611">
        <f>IF(ISERROR(O39/(O39+N39)),0,O39/(O39+N39))</f>
        <v>0.58536059023830722</v>
      </c>
      <c r="C55" s="612">
        <f>IF(ISERROR(N39/(O39+N39)),0,N39/(N39+O39))</f>
        <v>0.41463940976169278</v>
      </c>
      <c r="D55" s="579"/>
      <c r="E55" s="579"/>
      <c r="F55" s="579"/>
      <c r="G55" s="579"/>
      <c r="H55" s="579"/>
      <c r="I55" s="613"/>
      <c r="J55" s="579"/>
      <c r="K55" s="579"/>
      <c r="L55" s="614"/>
      <c r="M55" s="614"/>
      <c r="N55" s="614"/>
      <c r="O55" s="614"/>
      <c r="P55" s="604"/>
    </row>
    <row r="56" spans="1:28">
      <c r="A56" s="606"/>
      <c r="B56" s="615"/>
      <c r="C56" s="615"/>
      <c r="D56" s="615"/>
      <c r="E56" s="615"/>
      <c r="F56" s="615"/>
      <c r="G56" s="615"/>
      <c r="H56" s="615"/>
      <c r="I56" s="616"/>
      <c r="J56" s="615"/>
      <c r="K56" s="615"/>
      <c r="L56" s="617"/>
      <c r="M56" s="617"/>
      <c r="N56" s="617"/>
      <c r="O56" s="617"/>
      <c r="P56" s="604"/>
    </row>
    <row r="57" spans="1:28" ht="30">
      <c r="A57" s="618"/>
      <c r="B57" s="619" t="s">
        <v>528</v>
      </c>
      <c r="C57" s="619" t="s">
        <v>96</v>
      </c>
      <c r="D57" s="619" t="s">
        <v>97</v>
      </c>
      <c r="E57" s="619" t="s">
        <v>98</v>
      </c>
      <c r="F57" s="619" t="s">
        <v>99</v>
      </c>
      <c r="G57" s="619" t="s">
        <v>100</v>
      </c>
      <c r="H57" s="619" t="s">
        <v>101</v>
      </c>
      <c r="I57" s="620" t="s">
        <v>102</v>
      </c>
      <c r="J57" s="609"/>
      <c r="K57" s="609"/>
      <c r="L57" s="617"/>
      <c r="M57" s="617"/>
      <c r="N57" s="617"/>
      <c r="O57" s="604"/>
      <c r="P57" s="604"/>
    </row>
    <row r="58" spans="1:28">
      <c r="A58" s="608" t="s">
        <v>274</v>
      </c>
      <c r="B58" s="621">
        <f t="shared" ref="B58:I58" si="2">$C$55*P39</f>
        <v>75392.10685092675</v>
      </c>
      <c r="C58" s="621">
        <f t="shared" si="2"/>
        <v>142.20650899791198</v>
      </c>
      <c r="D58" s="621">
        <f t="shared" si="2"/>
        <v>0</v>
      </c>
      <c r="E58" s="621">
        <f t="shared" si="2"/>
        <v>970.25621884236114</v>
      </c>
      <c r="F58" s="621">
        <f t="shared" si="2"/>
        <v>2910.7686565270833</v>
      </c>
      <c r="G58" s="621">
        <f t="shared" si="2"/>
        <v>0</v>
      </c>
      <c r="H58" s="621">
        <f t="shared" si="2"/>
        <v>0</v>
      </c>
      <c r="I58" s="622">
        <f t="shared" si="2"/>
        <v>0</v>
      </c>
      <c r="J58" s="579"/>
      <c r="K58" s="579"/>
      <c r="L58" s="617"/>
      <c r="M58" s="617"/>
      <c r="N58" s="617"/>
      <c r="O58" s="604"/>
      <c r="P58" s="604"/>
    </row>
    <row r="59" spans="1:28" ht="15.75" thickBot="1">
      <c r="A59" s="623" t="s">
        <v>275</v>
      </c>
      <c r="B59" s="624">
        <f t="shared" ref="B59:I59" si="3">$B$55*P39</f>
        <v>106433.60743478751</v>
      </c>
      <c r="C59" s="624">
        <f t="shared" si="3"/>
        <v>200.75777671637374</v>
      </c>
      <c r="D59" s="624">
        <f t="shared" si="3"/>
        <v>0</v>
      </c>
      <c r="E59" s="624">
        <f t="shared" si="3"/>
        <v>1369.743781157639</v>
      </c>
      <c r="F59" s="624">
        <f t="shared" si="3"/>
        <v>4109.2313434729167</v>
      </c>
      <c r="G59" s="624">
        <f t="shared" si="3"/>
        <v>0</v>
      </c>
      <c r="H59" s="624">
        <f t="shared" si="3"/>
        <v>0</v>
      </c>
      <c r="I59" s="625">
        <f t="shared" si="3"/>
        <v>0</v>
      </c>
      <c r="J59" s="579"/>
      <c r="K59" s="579"/>
      <c r="L59" s="617"/>
      <c r="M59" s="617"/>
      <c r="N59" s="617"/>
      <c r="O59" s="604"/>
      <c r="P59" s="604"/>
    </row>
    <row r="60" spans="1:28">
      <c r="J60" s="564"/>
      <c r="K60" s="564"/>
      <c r="L60" s="564"/>
      <c r="M60" s="564"/>
      <c r="N60" s="564"/>
    </row>
    <row r="61" spans="1:28">
      <c r="J61" s="564"/>
      <c r="K61" s="564"/>
      <c r="L61" s="564"/>
      <c r="M61" s="564"/>
      <c r="N6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59897.915942918611</v>
      </c>
      <c r="D10" s="640">
        <f ca="1">tertiair!C16</f>
        <v>12857.142857142857</v>
      </c>
      <c r="E10" s="640">
        <f ca="1">tertiair!D16</f>
        <v>43260.237695995056</v>
      </c>
      <c r="F10" s="640">
        <f>tertiair!E16</f>
        <v>291.96186269837108</v>
      </c>
      <c r="G10" s="640">
        <f ca="1">tertiair!F16</f>
        <v>6651.3928611715655</v>
      </c>
      <c r="H10" s="640">
        <f>tertiair!G16</f>
        <v>0</v>
      </c>
      <c r="I10" s="640">
        <f>tertiair!H16</f>
        <v>0</v>
      </c>
      <c r="J10" s="640">
        <f>tertiair!I16</f>
        <v>0</v>
      </c>
      <c r="K10" s="640">
        <f>tertiair!J16</f>
        <v>77.248011201043568</v>
      </c>
      <c r="L10" s="640">
        <f>tertiair!K16</f>
        <v>0</v>
      </c>
      <c r="M10" s="640">
        <f ca="1">tertiair!L16</f>
        <v>0</v>
      </c>
      <c r="N10" s="640">
        <f>tertiair!M16</f>
        <v>0</v>
      </c>
      <c r="O10" s="640">
        <f ca="1">tertiair!N16</f>
        <v>0</v>
      </c>
      <c r="P10" s="640">
        <f>tertiair!O16</f>
        <v>4.6900000000000004</v>
      </c>
      <c r="Q10" s="641">
        <f>tertiair!P16</f>
        <v>95.333333333333343</v>
      </c>
      <c r="R10" s="643">
        <f ca="1">SUM(C10:Q10)</f>
        <v>123135.92256446082</v>
      </c>
      <c r="S10" s="67"/>
    </row>
    <row r="11" spans="1:19" s="444" customFormat="1">
      <c r="A11" s="754" t="s">
        <v>214</v>
      </c>
      <c r="B11" s="759"/>
      <c r="C11" s="640">
        <f>huishoudens!B8</f>
        <v>39065.693122879682</v>
      </c>
      <c r="D11" s="640">
        <f>huishoudens!C8</f>
        <v>0</v>
      </c>
      <c r="E11" s="640">
        <f>huishoudens!D8</f>
        <v>102840.5759053517</v>
      </c>
      <c r="F11" s="640">
        <f>huishoudens!E8</f>
        <v>1630.7426246495065</v>
      </c>
      <c r="G11" s="640">
        <f>huishoudens!F8</f>
        <v>49974.878676710527</v>
      </c>
      <c r="H11" s="640">
        <f>huishoudens!G8</f>
        <v>0</v>
      </c>
      <c r="I11" s="640">
        <f>huishoudens!H8</f>
        <v>0</v>
      </c>
      <c r="J11" s="640">
        <f>huishoudens!I8</f>
        <v>0</v>
      </c>
      <c r="K11" s="640">
        <f>huishoudens!J8</f>
        <v>946.42469343847847</v>
      </c>
      <c r="L11" s="640">
        <f>huishoudens!K8</f>
        <v>0</v>
      </c>
      <c r="M11" s="640">
        <f>huishoudens!L8</f>
        <v>0</v>
      </c>
      <c r="N11" s="640">
        <f>huishoudens!M8</f>
        <v>0</v>
      </c>
      <c r="O11" s="640">
        <f>huishoudens!N8</f>
        <v>12465.400189966991</v>
      </c>
      <c r="P11" s="640">
        <f>huishoudens!O8</f>
        <v>350.18666666666672</v>
      </c>
      <c r="Q11" s="641">
        <f>huishoudens!P8</f>
        <v>896.13333333333333</v>
      </c>
      <c r="R11" s="643">
        <f>SUM(C11:Q11)</f>
        <v>208170.03521299691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87778.689590968832</v>
      </c>
      <c r="D13" s="640">
        <f>industrie!C18</f>
        <v>784.28571428571433</v>
      </c>
      <c r="E13" s="640">
        <f>industrie!D18</f>
        <v>60647.922384644728</v>
      </c>
      <c r="F13" s="640">
        <f>industrie!E18</f>
        <v>6372.564860744581</v>
      </c>
      <c r="G13" s="640">
        <f>industrie!F18</f>
        <v>27606.081966684673</v>
      </c>
      <c r="H13" s="640">
        <f>industrie!G18</f>
        <v>0</v>
      </c>
      <c r="I13" s="640">
        <f>industrie!H18</f>
        <v>0</v>
      </c>
      <c r="J13" s="640">
        <f>industrie!I18</f>
        <v>0</v>
      </c>
      <c r="K13" s="640">
        <f>industrie!J18</f>
        <v>185.40979560013591</v>
      </c>
      <c r="L13" s="640">
        <f>industrie!K18</f>
        <v>0</v>
      </c>
      <c r="M13" s="640">
        <f>industrie!L18</f>
        <v>0</v>
      </c>
      <c r="N13" s="640">
        <f>industrie!M18</f>
        <v>0</v>
      </c>
      <c r="O13" s="640">
        <f>industrie!N18</f>
        <v>5554.0134143278774</v>
      </c>
      <c r="P13" s="640">
        <f>industrie!O18</f>
        <v>0</v>
      </c>
      <c r="Q13" s="641">
        <f>industrie!P18</f>
        <v>0</v>
      </c>
      <c r="R13" s="643">
        <f>SUM(C13:Q13)</f>
        <v>188928.9677272565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186742.29865676712</v>
      </c>
      <c r="D16" s="675">
        <f t="shared" ref="D16:R16" ca="1" si="0">SUM(D9:D15)</f>
        <v>13641.428571428571</v>
      </c>
      <c r="E16" s="675">
        <f t="shared" ca="1" si="0"/>
        <v>206748.73598599149</v>
      </c>
      <c r="F16" s="675">
        <f t="shared" si="0"/>
        <v>8295.269348092459</v>
      </c>
      <c r="G16" s="675">
        <f t="shared" ca="1" si="0"/>
        <v>84232.353504566767</v>
      </c>
      <c r="H16" s="675">
        <f t="shared" si="0"/>
        <v>0</v>
      </c>
      <c r="I16" s="675">
        <f t="shared" si="0"/>
        <v>0</v>
      </c>
      <c r="J16" s="675">
        <f t="shared" si="0"/>
        <v>0</v>
      </c>
      <c r="K16" s="675">
        <f t="shared" si="0"/>
        <v>1209.082500239658</v>
      </c>
      <c r="L16" s="675">
        <f t="shared" si="0"/>
        <v>0</v>
      </c>
      <c r="M16" s="675">
        <f t="shared" ca="1" si="0"/>
        <v>0</v>
      </c>
      <c r="N16" s="675">
        <f t="shared" si="0"/>
        <v>0</v>
      </c>
      <c r="O16" s="675">
        <f t="shared" ca="1" si="0"/>
        <v>18019.413604294867</v>
      </c>
      <c r="P16" s="675">
        <f t="shared" si="0"/>
        <v>354.87666666666672</v>
      </c>
      <c r="Q16" s="675">
        <f t="shared" si="0"/>
        <v>991.4666666666667</v>
      </c>
      <c r="R16" s="675">
        <f t="shared" ca="1" si="0"/>
        <v>520234.92550471425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9.1905352749283633</v>
      </c>
      <c r="D19" s="640">
        <f>transport!C54</f>
        <v>0</v>
      </c>
      <c r="E19" s="640">
        <f>transport!D54</f>
        <v>0</v>
      </c>
      <c r="F19" s="640">
        <f>transport!E54</f>
        <v>0</v>
      </c>
      <c r="G19" s="640">
        <f>transport!F54</f>
        <v>0</v>
      </c>
      <c r="H19" s="640">
        <f>transport!G54</f>
        <v>1788.885687604024</v>
      </c>
      <c r="I19" s="640">
        <f>transport!H54</f>
        <v>0</v>
      </c>
      <c r="J19" s="640">
        <f>transport!I54</f>
        <v>0</v>
      </c>
      <c r="K19" s="640">
        <f>transport!J54</f>
        <v>0</v>
      </c>
      <c r="L19" s="640">
        <f>transport!K54</f>
        <v>0</v>
      </c>
      <c r="M19" s="640">
        <f>transport!L54</f>
        <v>0</v>
      </c>
      <c r="N19" s="640">
        <f>transport!M54</f>
        <v>80.215137370772865</v>
      </c>
      <c r="O19" s="640">
        <f>transport!N54</f>
        <v>0</v>
      </c>
      <c r="P19" s="640">
        <f>transport!O54</f>
        <v>0</v>
      </c>
      <c r="Q19" s="641">
        <f>transport!P54</f>
        <v>0</v>
      </c>
      <c r="R19" s="643">
        <f>SUM(C19:Q19)</f>
        <v>1878.2913602497254</v>
      </c>
      <c r="S19" s="67"/>
    </row>
    <row r="20" spans="1:19" s="444" customFormat="1">
      <c r="A20" s="754" t="s">
        <v>296</v>
      </c>
      <c r="B20" s="759"/>
      <c r="C20" s="640">
        <f>transport!B14</f>
        <v>20.525064878366141</v>
      </c>
      <c r="D20" s="640">
        <f>transport!C14</f>
        <v>0</v>
      </c>
      <c r="E20" s="640">
        <f>transport!D14</f>
        <v>18.403684142146027</v>
      </c>
      <c r="F20" s="640">
        <f>transport!E14</f>
        <v>729.30904377104832</v>
      </c>
      <c r="G20" s="640">
        <f>transport!F14</f>
        <v>0</v>
      </c>
      <c r="H20" s="640">
        <f>transport!G14</f>
        <v>261754.58721985135</v>
      </c>
      <c r="I20" s="640">
        <f>transport!H14</f>
        <v>34460.541284566687</v>
      </c>
      <c r="J20" s="640">
        <f>transport!I14</f>
        <v>0</v>
      </c>
      <c r="K20" s="640">
        <f>transport!J14</f>
        <v>0</v>
      </c>
      <c r="L20" s="640">
        <f>transport!K14</f>
        <v>0</v>
      </c>
      <c r="M20" s="640">
        <f>transport!L14</f>
        <v>0</v>
      </c>
      <c r="N20" s="640">
        <f>transport!M14</f>
        <v>13389.324997421048</v>
      </c>
      <c r="O20" s="640">
        <f>transport!N14</f>
        <v>0</v>
      </c>
      <c r="P20" s="640">
        <f>transport!O14</f>
        <v>0</v>
      </c>
      <c r="Q20" s="641">
        <f>transport!P14</f>
        <v>0</v>
      </c>
      <c r="R20" s="643">
        <f>SUM(C20:Q20)</f>
        <v>310372.69129463064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29.715600153294503</v>
      </c>
      <c r="D22" s="757">
        <f t="shared" ref="D22:R22" si="1">SUM(D18:D21)</f>
        <v>0</v>
      </c>
      <c r="E22" s="757">
        <f t="shared" si="1"/>
        <v>18.403684142146027</v>
      </c>
      <c r="F22" s="757">
        <f t="shared" si="1"/>
        <v>729.30904377104832</v>
      </c>
      <c r="G22" s="757">
        <f t="shared" si="1"/>
        <v>0</v>
      </c>
      <c r="H22" s="757">
        <f t="shared" si="1"/>
        <v>263543.47290745541</v>
      </c>
      <c r="I22" s="757">
        <f t="shared" si="1"/>
        <v>34460.541284566687</v>
      </c>
      <c r="J22" s="757">
        <f t="shared" si="1"/>
        <v>0</v>
      </c>
      <c r="K22" s="757">
        <f t="shared" si="1"/>
        <v>0</v>
      </c>
      <c r="L22" s="757">
        <f t="shared" si="1"/>
        <v>0</v>
      </c>
      <c r="M22" s="757">
        <f t="shared" si="1"/>
        <v>0</v>
      </c>
      <c r="N22" s="757">
        <f t="shared" si="1"/>
        <v>13469.540134791821</v>
      </c>
      <c r="O22" s="757">
        <f t="shared" si="1"/>
        <v>0</v>
      </c>
      <c r="P22" s="757">
        <f t="shared" si="1"/>
        <v>0</v>
      </c>
      <c r="Q22" s="757">
        <f t="shared" si="1"/>
        <v>0</v>
      </c>
      <c r="R22" s="757">
        <f t="shared" si="1"/>
        <v>312250.98265488038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21023.338741562369</v>
      </c>
      <c r="D24" s="640">
        <f>+landbouw!C8</f>
        <v>81654.910714285696</v>
      </c>
      <c r="E24" s="640">
        <f>+landbouw!D8</f>
        <v>25349.187631608016</v>
      </c>
      <c r="F24" s="640">
        <f>+landbouw!E8</f>
        <v>436.54353548959261</v>
      </c>
      <c r="G24" s="640">
        <f>+landbouw!F8</f>
        <v>71957.015566880465</v>
      </c>
      <c r="H24" s="640">
        <f>+landbouw!G8</f>
        <v>0</v>
      </c>
      <c r="I24" s="640">
        <f>+landbouw!H8</f>
        <v>0</v>
      </c>
      <c r="J24" s="640">
        <f>+landbouw!I8</f>
        <v>0</v>
      </c>
      <c r="K24" s="640">
        <f>+landbouw!J8</f>
        <v>2411.2439846067718</v>
      </c>
      <c r="L24" s="640">
        <f>+landbouw!K8</f>
        <v>0</v>
      </c>
      <c r="M24" s="640">
        <f>+landbouw!L8</f>
        <v>0</v>
      </c>
      <c r="N24" s="640">
        <f>+landbouw!M8</f>
        <v>0</v>
      </c>
      <c r="O24" s="640">
        <f>+landbouw!N8</f>
        <v>0</v>
      </c>
      <c r="P24" s="640">
        <f>+landbouw!O8</f>
        <v>0</v>
      </c>
      <c r="Q24" s="641">
        <f>+landbouw!P8</f>
        <v>0</v>
      </c>
      <c r="R24" s="643">
        <f>SUM(C24:Q24)</f>
        <v>202832.24017443293</v>
      </c>
      <c r="S24" s="67"/>
    </row>
    <row r="25" spans="1:19" s="444" customFormat="1" ht="15" thickBot="1">
      <c r="A25" s="776" t="s">
        <v>806</v>
      </c>
      <c r="B25" s="939"/>
      <c r="C25" s="940">
        <f>IF(Onbekend_ele_kWh="---",0,Onbekend_ele_kWh)/1000+IF(REST_rest_ele_kWh="---",0,REST_rest_ele_kWh)/1000</f>
        <v>1582.15805889326</v>
      </c>
      <c r="D25" s="940"/>
      <c r="E25" s="940">
        <f>IF(onbekend_gas_kWh="---",0,onbekend_gas_kWh)/1000+IF(REST_rest_gas_kWh="---",0,REST_rest_gas_kWh)/1000</f>
        <v>3038.00430254295</v>
      </c>
      <c r="F25" s="940"/>
      <c r="G25" s="940"/>
      <c r="H25" s="940"/>
      <c r="I25" s="940"/>
      <c r="J25" s="940"/>
      <c r="K25" s="940"/>
      <c r="L25" s="940"/>
      <c r="M25" s="940"/>
      <c r="N25" s="940"/>
      <c r="O25" s="940"/>
      <c r="P25" s="940"/>
      <c r="Q25" s="941"/>
      <c r="R25" s="643">
        <f>SUM(C25:Q25)</f>
        <v>4620.1623614362097</v>
      </c>
      <c r="S25" s="67"/>
    </row>
    <row r="26" spans="1:19" s="444" customFormat="1" ht="15.75" thickBot="1">
      <c r="A26" s="648" t="s">
        <v>807</v>
      </c>
      <c r="B26" s="762"/>
      <c r="C26" s="757">
        <f>SUM(C24:C25)</f>
        <v>22605.496800455629</v>
      </c>
      <c r="D26" s="757">
        <f t="shared" ref="D26:R26" si="2">SUM(D24:D25)</f>
        <v>81654.910714285696</v>
      </c>
      <c r="E26" s="757">
        <f t="shared" si="2"/>
        <v>28387.191934150967</v>
      </c>
      <c r="F26" s="757">
        <f t="shared" si="2"/>
        <v>436.54353548959261</v>
      </c>
      <c r="G26" s="757">
        <f t="shared" si="2"/>
        <v>71957.015566880465</v>
      </c>
      <c r="H26" s="757">
        <f t="shared" si="2"/>
        <v>0</v>
      </c>
      <c r="I26" s="757">
        <f t="shared" si="2"/>
        <v>0</v>
      </c>
      <c r="J26" s="757">
        <f t="shared" si="2"/>
        <v>0</v>
      </c>
      <c r="K26" s="757">
        <f t="shared" si="2"/>
        <v>2411.2439846067718</v>
      </c>
      <c r="L26" s="757">
        <f t="shared" si="2"/>
        <v>0</v>
      </c>
      <c r="M26" s="757">
        <f t="shared" si="2"/>
        <v>0</v>
      </c>
      <c r="N26" s="757">
        <f t="shared" si="2"/>
        <v>0</v>
      </c>
      <c r="O26" s="757">
        <f t="shared" si="2"/>
        <v>0</v>
      </c>
      <c r="P26" s="757">
        <f t="shared" si="2"/>
        <v>0</v>
      </c>
      <c r="Q26" s="757">
        <f t="shared" si="2"/>
        <v>0</v>
      </c>
      <c r="R26" s="757">
        <f t="shared" si="2"/>
        <v>207452.40253586913</v>
      </c>
      <c r="S26" s="67"/>
    </row>
    <row r="27" spans="1:19" s="444" customFormat="1" ht="17.25" thickTop="1" thickBot="1">
      <c r="A27" s="649" t="s">
        <v>109</v>
      </c>
      <c r="B27" s="749"/>
      <c r="C27" s="650">
        <f ca="1">C22+C16+C26</f>
        <v>209377.51105737605</v>
      </c>
      <c r="D27" s="650">
        <f t="shared" ref="D27:R27" ca="1" si="3">D22+D16+D26</f>
        <v>95296.339285714261</v>
      </c>
      <c r="E27" s="650">
        <f t="shared" ca="1" si="3"/>
        <v>235154.33160428458</v>
      </c>
      <c r="F27" s="650">
        <f t="shared" si="3"/>
        <v>9461.1219273531005</v>
      </c>
      <c r="G27" s="650">
        <f t="shared" ca="1" si="3"/>
        <v>156189.36907144723</v>
      </c>
      <c r="H27" s="650">
        <f t="shared" si="3"/>
        <v>263543.47290745541</v>
      </c>
      <c r="I27" s="650">
        <f t="shared" si="3"/>
        <v>34460.541284566687</v>
      </c>
      <c r="J27" s="650">
        <f t="shared" si="3"/>
        <v>0</v>
      </c>
      <c r="K27" s="650">
        <f t="shared" si="3"/>
        <v>3620.3264848464296</v>
      </c>
      <c r="L27" s="650">
        <f t="shared" si="3"/>
        <v>0</v>
      </c>
      <c r="M27" s="650">
        <f t="shared" ca="1" si="3"/>
        <v>0</v>
      </c>
      <c r="N27" s="650">
        <f t="shared" si="3"/>
        <v>13469.540134791821</v>
      </c>
      <c r="O27" s="650">
        <f t="shared" ca="1" si="3"/>
        <v>18019.413604294867</v>
      </c>
      <c r="P27" s="650">
        <f t="shared" si="3"/>
        <v>354.87666666666672</v>
      </c>
      <c r="Q27" s="650">
        <f t="shared" si="3"/>
        <v>991.4666666666667</v>
      </c>
      <c r="R27" s="650">
        <f t="shared" ca="1" si="3"/>
        <v>1039938.3106954638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11416.673847869615</v>
      </c>
      <c r="D40" s="640">
        <f ca="1">tertiair!C20</f>
        <v>2950.0127721525137</v>
      </c>
      <c r="E40" s="640">
        <f ca="1">tertiair!D20</f>
        <v>8738.5680145910028</v>
      </c>
      <c r="F40" s="640">
        <f>tertiair!E20</f>
        <v>66.275342832530242</v>
      </c>
      <c r="G40" s="640">
        <f ca="1">tertiair!F20</f>
        <v>1775.9218939328082</v>
      </c>
      <c r="H40" s="640">
        <f>tertiair!G20</f>
        <v>0</v>
      </c>
      <c r="I40" s="640">
        <f>tertiair!H20</f>
        <v>0</v>
      </c>
      <c r="J40" s="640">
        <f>tertiair!I20</f>
        <v>0</v>
      </c>
      <c r="K40" s="640">
        <f>tertiair!J20</f>
        <v>27.345795965169422</v>
      </c>
      <c r="L40" s="640">
        <f>tertiair!K20</f>
        <v>0</v>
      </c>
      <c r="M40" s="640">
        <f ca="1">tertiair!L20</f>
        <v>0</v>
      </c>
      <c r="N40" s="640">
        <f>tertiair!M20</f>
        <v>0</v>
      </c>
      <c r="O40" s="640">
        <f ca="1">tertiair!N20</f>
        <v>0</v>
      </c>
      <c r="P40" s="640">
        <f>tertiair!O20</f>
        <v>0</v>
      </c>
      <c r="Q40" s="717">
        <f>tertiair!P20</f>
        <v>0</v>
      </c>
      <c r="R40" s="795">
        <f t="shared" ca="1" si="4"/>
        <v>24974.797667343639</v>
      </c>
    </row>
    <row r="41" spans="1:18">
      <c r="A41" s="767" t="s">
        <v>214</v>
      </c>
      <c r="B41" s="774"/>
      <c r="C41" s="640">
        <f ca="1">huishoudens!B12</f>
        <v>7446.0065931160061</v>
      </c>
      <c r="D41" s="640">
        <f ca="1">huishoudens!C12</f>
        <v>0</v>
      </c>
      <c r="E41" s="640">
        <f>huishoudens!D12</f>
        <v>20773.796332881044</v>
      </c>
      <c r="F41" s="640">
        <f>huishoudens!E12</f>
        <v>370.17857579543801</v>
      </c>
      <c r="G41" s="640">
        <f>huishoudens!F12</f>
        <v>13343.292606681711</v>
      </c>
      <c r="H41" s="640">
        <f>huishoudens!G12</f>
        <v>0</v>
      </c>
      <c r="I41" s="640">
        <f>huishoudens!H12</f>
        <v>0</v>
      </c>
      <c r="J41" s="640">
        <f>huishoudens!I12</f>
        <v>0</v>
      </c>
      <c r="K41" s="640">
        <f>huishoudens!J12</f>
        <v>335.03434147722135</v>
      </c>
      <c r="L41" s="640">
        <f>huishoudens!K12</f>
        <v>0</v>
      </c>
      <c r="M41" s="640">
        <f>huishoudens!L12</f>
        <v>0</v>
      </c>
      <c r="N41" s="640">
        <f>huishoudens!M12</f>
        <v>0</v>
      </c>
      <c r="O41" s="640">
        <f>huishoudens!N12</f>
        <v>0</v>
      </c>
      <c r="P41" s="640">
        <f>huishoudens!O12</f>
        <v>0</v>
      </c>
      <c r="Q41" s="717">
        <f>huishoudens!P12</f>
        <v>0</v>
      </c>
      <c r="R41" s="795">
        <f t="shared" ca="1" si="4"/>
        <v>42268.308449951423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16730.810314143426</v>
      </c>
      <c r="D43" s="640">
        <f ca="1">industrie!C22</f>
        <v>179.95077910130337</v>
      </c>
      <c r="E43" s="640">
        <f>industrie!D22</f>
        <v>12250.880321698236</v>
      </c>
      <c r="F43" s="640">
        <f>industrie!E22</f>
        <v>1446.5722233890199</v>
      </c>
      <c r="G43" s="640">
        <f>industrie!F22</f>
        <v>7370.8238851048081</v>
      </c>
      <c r="H43" s="640">
        <f>industrie!G22</f>
        <v>0</v>
      </c>
      <c r="I43" s="640">
        <f>industrie!H22</f>
        <v>0</v>
      </c>
      <c r="J43" s="640">
        <f>industrie!I22</f>
        <v>0</v>
      </c>
      <c r="K43" s="640">
        <f>industrie!J22</f>
        <v>65.635067642448107</v>
      </c>
      <c r="L43" s="640">
        <f>industrie!K22</f>
        <v>0</v>
      </c>
      <c r="M43" s="640">
        <f>industrie!L22</f>
        <v>0</v>
      </c>
      <c r="N43" s="640">
        <f>industrie!M22</f>
        <v>0</v>
      </c>
      <c r="O43" s="640">
        <f>industrie!N22</f>
        <v>0</v>
      </c>
      <c r="P43" s="640">
        <f>industrie!O22</f>
        <v>0</v>
      </c>
      <c r="Q43" s="717">
        <f>industrie!P22</f>
        <v>0</v>
      </c>
      <c r="R43" s="794">
        <f t="shared" ca="1" si="4"/>
        <v>38044.672591079237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35593.490755129045</v>
      </c>
      <c r="D46" s="675">
        <f t="shared" ref="D46:Q46" ca="1" si="5">SUM(D39:D45)</f>
        <v>3129.9635512538171</v>
      </c>
      <c r="E46" s="675">
        <f t="shared" ca="1" si="5"/>
        <v>41763.244669170279</v>
      </c>
      <c r="F46" s="675">
        <f t="shared" si="5"/>
        <v>1883.0261420169882</v>
      </c>
      <c r="G46" s="675">
        <f t="shared" ca="1" si="5"/>
        <v>22490.038385719326</v>
      </c>
      <c r="H46" s="675">
        <f t="shared" si="5"/>
        <v>0</v>
      </c>
      <c r="I46" s="675">
        <f t="shared" si="5"/>
        <v>0</v>
      </c>
      <c r="J46" s="675">
        <f t="shared" si="5"/>
        <v>0</v>
      </c>
      <c r="K46" s="675">
        <f t="shared" si="5"/>
        <v>428.0152050848389</v>
      </c>
      <c r="L46" s="675">
        <f t="shared" si="5"/>
        <v>0</v>
      </c>
      <c r="M46" s="675">
        <f t="shared" ca="1" si="5"/>
        <v>0</v>
      </c>
      <c r="N46" s="675">
        <f t="shared" si="5"/>
        <v>0</v>
      </c>
      <c r="O46" s="675">
        <f t="shared" ca="1" si="5"/>
        <v>0</v>
      </c>
      <c r="P46" s="675">
        <f t="shared" si="5"/>
        <v>0</v>
      </c>
      <c r="Q46" s="675">
        <f t="shared" si="5"/>
        <v>0</v>
      </c>
      <c r="R46" s="675">
        <f ca="1">SUM(R39:R45)</f>
        <v>105287.7787083743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1.751736134211904</v>
      </c>
      <c r="D49" s="640">
        <f ca="1">transport!C58</f>
        <v>0</v>
      </c>
      <c r="E49" s="640">
        <f>transport!D58</f>
        <v>0</v>
      </c>
      <c r="F49" s="640">
        <f>transport!E58</f>
        <v>0</v>
      </c>
      <c r="G49" s="640">
        <f>transport!F58</f>
        <v>0</v>
      </c>
      <c r="H49" s="640">
        <f>transport!G58</f>
        <v>477.63247859027445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479.38421472448636</v>
      </c>
    </row>
    <row r="50" spans="1:18">
      <c r="A50" s="770" t="s">
        <v>296</v>
      </c>
      <c r="B50" s="780"/>
      <c r="C50" s="646">
        <f ca="1">transport!B18</f>
        <v>3.9121222789450507</v>
      </c>
      <c r="D50" s="646">
        <f>transport!C18</f>
        <v>0</v>
      </c>
      <c r="E50" s="646">
        <f>transport!D18</f>
        <v>3.7175441967134977</v>
      </c>
      <c r="F50" s="646">
        <f>transport!E18</f>
        <v>165.55315293602797</v>
      </c>
      <c r="G50" s="646">
        <f>transport!F18</f>
        <v>0</v>
      </c>
      <c r="H50" s="646">
        <f>transport!G18</f>
        <v>69888.47478770031</v>
      </c>
      <c r="I50" s="646">
        <f>transport!H18</f>
        <v>8580.674779857105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78642.332386969094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5.6638584131569552</v>
      </c>
      <c r="D52" s="675">
        <f t="shared" ref="D52:Q52" ca="1" si="6">SUM(D48:D51)</f>
        <v>0</v>
      </c>
      <c r="E52" s="675">
        <f t="shared" si="6"/>
        <v>3.7175441967134977</v>
      </c>
      <c r="F52" s="675">
        <f t="shared" si="6"/>
        <v>165.55315293602797</v>
      </c>
      <c r="G52" s="675">
        <f t="shared" si="6"/>
        <v>0</v>
      </c>
      <c r="H52" s="675">
        <f t="shared" si="6"/>
        <v>70366.107266290579</v>
      </c>
      <c r="I52" s="675">
        <f t="shared" si="6"/>
        <v>8580.674779857105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79121.716601693581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4007.0943675975254</v>
      </c>
      <c r="D54" s="646">
        <f ca="1">+landbouw!C12</f>
        <v>18735.346740142351</v>
      </c>
      <c r="E54" s="646">
        <f>+landbouw!D12</f>
        <v>5120.5359015848198</v>
      </c>
      <c r="F54" s="646">
        <f>+landbouw!E12</f>
        <v>99.095382556137523</v>
      </c>
      <c r="G54" s="646">
        <f>+landbouw!F12</f>
        <v>19212.523156357085</v>
      </c>
      <c r="H54" s="646">
        <f>+landbouw!G12</f>
        <v>0</v>
      </c>
      <c r="I54" s="646">
        <f>+landbouw!H12</f>
        <v>0</v>
      </c>
      <c r="J54" s="646">
        <f>+landbouw!I12</f>
        <v>0</v>
      </c>
      <c r="K54" s="646">
        <f>+landbouw!J12</f>
        <v>853.58037055079717</v>
      </c>
      <c r="L54" s="646">
        <f>+landbouw!K12</f>
        <v>0</v>
      </c>
      <c r="M54" s="646">
        <f>+landbouw!L12</f>
        <v>0</v>
      </c>
      <c r="N54" s="646">
        <f>+landbouw!M12</f>
        <v>0</v>
      </c>
      <c r="O54" s="646">
        <f>+landbouw!N12</f>
        <v>0</v>
      </c>
      <c r="P54" s="646">
        <f>+landbouw!O12</f>
        <v>0</v>
      </c>
      <c r="Q54" s="647">
        <f>+landbouw!P12</f>
        <v>0</v>
      </c>
      <c r="R54" s="674">
        <f ca="1">SUM(C54:Q54)</f>
        <v>48028.175918788722</v>
      </c>
    </row>
    <row r="55" spans="1:18" ht="15" thickBot="1">
      <c r="A55" s="770" t="s">
        <v>806</v>
      </c>
      <c r="B55" s="780"/>
      <c r="C55" s="646">
        <f ca="1">C25*'EF ele_warmte'!B12</f>
        <v>301.56278811731039</v>
      </c>
      <c r="D55" s="646"/>
      <c r="E55" s="646">
        <f>E25*EF_CO2_aardgas</f>
        <v>613.67686911367593</v>
      </c>
      <c r="F55" s="646"/>
      <c r="G55" s="646"/>
      <c r="H55" s="646"/>
      <c r="I55" s="646"/>
      <c r="J55" s="646"/>
      <c r="K55" s="646"/>
      <c r="L55" s="646"/>
      <c r="M55" s="646"/>
      <c r="N55" s="646"/>
      <c r="O55" s="646"/>
      <c r="P55" s="646"/>
      <c r="Q55" s="647"/>
      <c r="R55" s="674">
        <f ca="1">SUM(C55:Q55)</f>
        <v>915.23965723098627</v>
      </c>
    </row>
    <row r="56" spans="1:18" ht="15.75" thickBot="1">
      <c r="A56" s="768" t="s">
        <v>807</v>
      </c>
      <c r="B56" s="781"/>
      <c r="C56" s="675">
        <f ca="1">SUM(C54:C55)</f>
        <v>4308.6571557148354</v>
      </c>
      <c r="D56" s="675">
        <f t="shared" ref="D56:Q56" ca="1" si="7">SUM(D54:D55)</f>
        <v>18735.346740142351</v>
      </c>
      <c r="E56" s="675">
        <f t="shared" si="7"/>
        <v>5734.2127706984957</v>
      </c>
      <c r="F56" s="675">
        <f t="shared" si="7"/>
        <v>99.095382556137523</v>
      </c>
      <c r="G56" s="675">
        <f t="shared" si="7"/>
        <v>19212.523156357085</v>
      </c>
      <c r="H56" s="675">
        <f t="shared" si="7"/>
        <v>0</v>
      </c>
      <c r="I56" s="675">
        <f t="shared" si="7"/>
        <v>0</v>
      </c>
      <c r="J56" s="675">
        <f t="shared" si="7"/>
        <v>0</v>
      </c>
      <c r="K56" s="675">
        <f t="shared" si="7"/>
        <v>853.58037055079717</v>
      </c>
      <c r="L56" s="675">
        <f t="shared" si="7"/>
        <v>0</v>
      </c>
      <c r="M56" s="675">
        <f t="shared" si="7"/>
        <v>0</v>
      </c>
      <c r="N56" s="675">
        <f t="shared" si="7"/>
        <v>0</v>
      </c>
      <c r="O56" s="675">
        <f t="shared" si="7"/>
        <v>0</v>
      </c>
      <c r="P56" s="675">
        <f t="shared" si="7"/>
        <v>0</v>
      </c>
      <c r="Q56" s="676">
        <f t="shared" si="7"/>
        <v>0</v>
      </c>
      <c r="R56" s="677">
        <f ca="1">SUM(R54:R55)</f>
        <v>48943.41557601971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39907.811769257038</v>
      </c>
      <c r="D61" s="683">
        <f t="shared" ref="D61:Q61" ca="1" si="8">D46+D52+D56</f>
        <v>21865.31029139617</v>
      </c>
      <c r="E61" s="683">
        <f t="shared" ca="1" si="8"/>
        <v>47501.174984065488</v>
      </c>
      <c r="F61" s="683">
        <f t="shared" si="8"/>
        <v>2147.6746775091533</v>
      </c>
      <c r="G61" s="683">
        <f t="shared" ca="1" si="8"/>
        <v>41702.561542076408</v>
      </c>
      <c r="H61" s="683">
        <f t="shared" si="8"/>
        <v>70366.107266290579</v>
      </c>
      <c r="I61" s="683">
        <f t="shared" si="8"/>
        <v>8580.674779857105</v>
      </c>
      <c r="J61" s="683">
        <f t="shared" si="8"/>
        <v>0</v>
      </c>
      <c r="K61" s="683">
        <f t="shared" si="8"/>
        <v>1281.5955756356361</v>
      </c>
      <c r="L61" s="683">
        <f t="shared" si="8"/>
        <v>0</v>
      </c>
      <c r="M61" s="683">
        <f t="shared" ca="1" si="8"/>
        <v>0</v>
      </c>
      <c r="N61" s="683">
        <f t="shared" si="8"/>
        <v>0</v>
      </c>
      <c r="O61" s="683">
        <f t="shared" ca="1" si="8"/>
        <v>0</v>
      </c>
      <c r="P61" s="683">
        <f t="shared" si="8"/>
        <v>0</v>
      </c>
      <c r="Q61" s="683">
        <f t="shared" si="8"/>
        <v>0</v>
      </c>
      <c r="R61" s="683">
        <f ca="1">R46+R52+R56</f>
        <v>233352.9108860876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0.19060218820884273</v>
      </c>
      <c r="D63" s="726">
        <f t="shared" ca="1" si="9"/>
        <v>0.22944543783408444</v>
      </c>
      <c r="E63" s="946">
        <f t="shared" ca="1" si="9"/>
        <v>0.20200000000000001</v>
      </c>
      <c r="F63" s="726">
        <f t="shared" si="9"/>
        <v>0.22699999999999995</v>
      </c>
      <c r="G63" s="726">
        <f t="shared" ca="1" si="9"/>
        <v>0.26699999999999996</v>
      </c>
      <c r="H63" s="726">
        <f t="shared" si="9"/>
        <v>0.26699999999999996</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22081.854630000002</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7955.9276380596566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2595.028890696246</v>
      </c>
      <c r="C76" s="693">
        <f>'lokale energieproductie'!B8*IFERROR(SUM(D76:H76)/SUM(D76:O76),0)</f>
        <v>64908.008609303746</v>
      </c>
      <c r="D76" s="956">
        <f>'lokale energieproductie'!C8</f>
        <v>75392.10685092675</v>
      </c>
      <c r="E76" s="957">
        <f>'lokale energieproductie'!D8</f>
        <v>0</v>
      </c>
      <c r="F76" s="957">
        <f>'lokale energieproductie'!E8</f>
        <v>970.25621884236114</v>
      </c>
      <c r="G76" s="957">
        <f>'lokale energieproductie'!F8</f>
        <v>0</v>
      </c>
      <c r="H76" s="957">
        <f>'lokale energieproductie'!G8</f>
        <v>0</v>
      </c>
      <c r="I76" s="957">
        <f>'lokale energieproductie'!I8</f>
        <v>2910.7686565270833</v>
      </c>
      <c r="J76" s="957">
        <f>'lokale energieproductie'!J8</f>
        <v>142.20650899791198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15488.263994318115</v>
      </c>
      <c r="R76" s="797">
        <v>0</v>
      </c>
    </row>
    <row r="77" spans="1:18" ht="30.75" thickBot="1">
      <c r="A77" s="696" t="s">
        <v>340</v>
      </c>
      <c r="B77" s="693">
        <f>'lokale energieproductie'!B9*IFERROR(SUM(I77:O77)/SUM(D77:O77),0)</f>
        <v>1341</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3831.4285714285716</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33973.811158755903</v>
      </c>
      <c r="C78" s="698">
        <f>SUM(C72:C77)</f>
        <v>64908.008609303746</v>
      </c>
      <c r="D78" s="699">
        <f t="shared" ref="D78:H78" si="10">SUM(D76:D77)</f>
        <v>75392.10685092675</v>
      </c>
      <c r="E78" s="699">
        <f t="shared" si="10"/>
        <v>0</v>
      </c>
      <c r="F78" s="699">
        <f t="shared" si="10"/>
        <v>970.25621884236114</v>
      </c>
      <c r="G78" s="699">
        <f t="shared" si="10"/>
        <v>0</v>
      </c>
      <c r="H78" s="699">
        <f t="shared" si="10"/>
        <v>0</v>
      </c>
      <c r="I78" s="699">
        <f>SUM(I76:I77)</f>
        <v>2910.7686565270833</v>
      </c>
      <c r="J78" s="699">
        <f>SUM(J76:J77)</f>
        <v>3973.6350804264835</v>
      </c>
      <c r="K78" s="699">
        <f t="shared" ref="K78:L78" si="11">SUM(K76:K77)</f>
        <v>0</v>
      </c>
      <c r="L78" s="699">
        <f t="shared" si="11"/>
        <v>0</v>
      </c>
      <c r="M78" s="699">
        <f>SUM(M76:M77)</f>
        <v>0</v>
      </c>
      <c r="N78" s="699">
        <f>SUM(N76:N77)</f>
        <v>0</v>
      </c>
      <c r="O78" s="805">
        <f>SUM(O76:O77)</f>
        <v>0</v>
      </c>
      <c r="P78" s="700">
        <v>0</v>
      </c>
      <c r="Q78" s="700">
        <f>SUM(Q76:Q77)</f>
        <v>15488.263994318115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3663.4907521608975</v>
      </c>
      <c r="C87" s="709">
        <f>'lokale energieproductie'!B17*IFERROR(SUM(D87:H87)/SUM(D87:O87),0)</f>
        <v>91632.848533553377</v>
      </c>
      <c r="D87" s="720">
        <f>'lokale energieproductie'!C17</f>
        <v>106433.60743478751</v>
      </c>
      <c r="E87" s="720">
        <f>'lokale energieproductie'!D17</f>
        <v>0</v>
      </c>
      <c r="F87" s="720">
        <f>'lokale energieproductie'!E17</f>
        <v>1369.743781157639</v>
      </c>
      <c r="G87" s="720">
        <f>'lokale energieproductie'!F17</f>
        <v>0</v>
      </c>
      <c r="H87" s="720">
        <f>'lokale energieproductie'!G17</f>
        <v>0</v>
      </c>
      <c r="I87" s="720">
        <f>'lokale energieproductie'!I17</f>
        <v>4109.2313434729167</v>
      </c>
      <c r="J87" s="720">
        <f>'lokale energieproductie'!J17</f>
        <v>200.75777671637374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21865.310291396167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3663.4907521608975</v>
      </c>
      <c r="C90" s="698">
        <f>SUM(C87:C89)</f>
        <v>91632.848533553377</v>
      </c>
      <c r="D90" s="698">
        <f t="shared" ref="D90:H90" si="12">SUM(D87:D89)</f>
        <v>106433.60743478751</v>
      </c>
      <c r="E90" s="698">
        <f t="shared" si="12"/>
        <v>0</v>
      </c>
      <c r="F90" s="698">
        <f t="shared" si="12"/>
        <v>1369.743781157639</v>
      </c>
      <c r="G90" s="698">
        <f t="shared" si="12"/>
        <v>0</v>
      </c>
      <c r="H90" s="698">
        <f t="shared" si="12"/>
        <v>0</v>
      </c>
      <c r="I90" s="698">
        <f>SUM(I87:I89)</f>
        <v>4109.2313434729167</v>
      </c>
      <c r="J90" s="698">
        <f>SUM(J87:J89)</f>
        <v>200.75777671637374</v>
      </c>
      <c r="K90" s="698">
        <f t="shared" ref="K90:L90" si="13">SUM(K87:K89)</f>
        <v>0</v>
      </c>
      <c r="L90" s="698">
        <f t="shared" si="13"/>
        <v>0</v>
      </c>
      <c r="M90" s="698">
        <f>SUM(M87:M89)</f>
        <v>0</v>
      </c>
      <c r="N90" s="698">
        <f>SUM(N87:N89)</f>
        <v>0</v>
      </c>
      <c r="O90" s="698">
        <f>SUM(O87:O89)</f>
        <v>0</v>
      </c>
      <c r="P90" s="698">
        <v>0</v>
      </c>
      <c r="Q90" s="698">
        <f>SUM(Q87:Q89)</f>
        <v>21865.310291396167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39065.693122879682</v>
      </c>
      <c r="C4" s="448">
        <f>huishoudens!C8</f>
        <v>0</v>
      </c>
      <c r="D4" s="448">
        <f>huishoudens!D8</f>
        <v>102840.5759053517</v>
      </c>
      <c r="E4" s="448">
        <f>huishoudens!E8</f>
        <v>1630.7426246495065</v>
      </c>
      <c r="F4" s="448">
        <f>huishoudens!F8</f>
        <v>49974.878676710527</v>
      </c>
      <c r="G4" s="448">
        <f>huishoudens!G8</f>
        <v>0</v>
      </c>
      <c r="H4" s="448">
        <f>huishoudens!H8</f>
        <v>0</v>
      </c>
      <c r="I4" s="448">
        <f>huishoudens!I8</f>
        <v>0</v>
      </c>
      <c r="J4" s="448">
        <f>huishoudens!J8</f>
        <v>946.42469343847847</v>
      </c>
      <c r="K4" s="448">
        <f>huishoudens!K8</f>
        <v>0</v>
      </c>
      <c r="L4" s="448">
        <f>huishoudens!L8</f>
        <v>0</v>
      </c>
      <c r="M4" s="448">
        <f>huishoudens!M8</f>
        <v>0</v>
      </c>
      <c r="N4" s="448">
        <f>huishoudens!N8</f>
        <v>12465.400189966991</v>
      </c>
      <c r="O4" s="448">
        <f>huishoudens!O8</f>
        <v>350.18666666666672</v>
      </c>
      <c r="P4" s="449">
        <f>huishoudens!P8</f>
        <v>896.13333333333333</v>
      </c>
      <c r="Q4" s="450">
        <f>SUM(B4:P4)</f>
        <v>208170.03521299691</v>
      </c>
    </row>
    <row r="5" spans="1:17">
      <c r="A5" s="447" t="s">
        <v>149</v>
      </c>
      <c r="B5" s="448">
        <f ca="1">tertiair!B16</f>
        <v>58458.546942918612</v>
      </c>
      <c r="C5" s="448">
        <f ca="1">tertiair!C16</f>
        <v>12857.142857142857</v>
      </c>
      <c r="D5" s="448">
        <f ca="1">tertiair!D16</f>
        <v>43260.237695995056</v>
      </c>
      <c r="E5" s="448">
        <f>tertiair!E16</f>
        <v>291.96186269837108</v>
      </c>
      <c r="F5" s="448">
        <f ca="1">tertiair!F16</f>
        <v>6651.3928611715655</v>
      </c>
      <c r="G5" s="448">
        <f>tertiair!G16</f>
        <v>0</v>
      </c>
      <c r="H5" s="448">
        <f>tertiair!H16</f>
        <v>0</v>
      </c>
      <c r="I5" s="448">
        <f>tertiair!I16</f>
        <v>0</v>
      </c>
      <c r="J5" s="448">
        <f>tertiair!J16</f>
        <v>77.248011201043568</v>
      </c>
      <c r="K5" s="448">
        <f>tertiair!K16</f>
        <v>0</v>
      </c>
      <c r="L5" s="448">
        <f ca="1">tertiair!L16</f>
        <v>0</v>
      </c>
      <c r="M5" s="448">
        <f>tertiair!M16</f>
        <v>0</v>
      </c>
      <c r="N5" s="448">
        <f ca="1">tertiair!N16</f>
        <v>0</v>
      </c>
      <c r="O5" s="448">
        <f>tertiair!O16</f>
        <v>4.6900000000000004</v>
      </c>
      <c r="P5" s="449">
        <f>tertiair!P16</f>
        <v>95.333333333333343</v>
      </c>
      <c r="Q5" s="447">
        <f t="shared" ref="Q5:Q14" ca="1" si="0">SUM(B5:P5)</f>
        <v>121696.55356446085</v>
      </c>
    </row>
    <row r="6" spans="1:17">
      <c r="A6" s="447" t="s">
        <v>187</v>
      </c>
      <c r="B6" s="448">
        <f>'openbare verlichting'!B8</f>
        <v>1439.3689999999999</v>
      </c>
      <c r="C6" s="448"/>
      <c r="D6" s="448"/>
      <c r="E6" s="448"/>
      <c r="F6" s="448"/>
      <c r="G6" s="448"/>
      <c r="H6" s="448"/>
      <c r="I6" s="448"/>
      <c r="J6" s="448"/>
      <c r="K6" s="448"/>
      <c r="L6" s="448"/>
      <c r="M6" s="448"/>
      <c r="N6" s="448"/>
      <c r="O6" s="448"/>
      <c r="P6" s="449"/>
      <c r="Q6" s="447">
        <f t="shared" si="0"/>
        <v>1439.3689999999999</v>
      </c>
    </row>
    <row r="7" spans="1:17">
      <c r="A7" s="447" t="s">
        <v>105</v>
      </c>
      <c r="B7" s="448">
        <f>landbouw!B8</f>
        <v>21023.338741562369</v>
      </c>
      <c r="C7" s="448">
        <f>landbouw!C8</f>
        <v>81654.910714285696</v>
      </c>
      <c r="D7" s="448">
        <f>landbouw!D8</f>
        <v>25349.187631608016</v>
      </c>
      <c r="E7" s="448">
        <f>landbouw!E8</f>
        <v>436.54353548959261</v>
      </c>
      <c r="F7" s="448">
        <f>landbouw!F8</f>
        <v>71957.015566880465</v>
      </c>
      <c r="G7" s="448">
        <f>landbouw!G8</f>
        <v>0</v>
      </c>
      <c r="H7" s="448">
        <f>landbouw!H8</f>
        <v>0</v>
      </c>
      <c r="I7" s="448">
        <f>landbouw!I8</f>
        <v>0</v>
      </c>
      <c r="J7" s="448">
        <f>landbouw!J8</f>
        <v>2411.2439846067718</v>
      </c>
      <c r="K7" s="448">
        <f>landbouw!K8</f>
        <v>0</v>
      </c>
      <c r="L7" s="448">
        <f>landbouw!L8</f>
        <v>0</v>
      </c>
      <c r="M7" s="448">
        <f>landbouw!M8</f>
        <v>0</v>
      </c>
      <c r="N7" s="448">
        <f>landbouw!N8</f>
        <v>0</v>
      </c>
      <c r="O7" s="448">
        <f>landbouw!O8</f>
        <v>0</v>
      </c>
      <c r="P7" s="449">
        <f>landbouw!P8</f>
        <v>0</v>
      </c>
      <c r="Q7" s="447">
        <f t="shared" si="0"/>
        <v>202832.24017443293</v>
      </c>
    </row>
    <row r="8" spans="1:17">
      <c r="A8" s="447" t="s">
        <v>614</v>
      </c>
      <c r="B8" s="448">
        <f>industrie!B18</f>
        <v>87778.689590968832</v>
      </c>
      <c r="C8" s="448">
        <f>industrie!C18</f>
        <v>784.28571428571433</v>
      </c>
      <c r="D8" s="448">
        <f>industrie!D18</f>
        <v>60647.922384644728</v>
      </c>
      <c r="E8" s="448">
        <f>industrie!E18</f>
        <v>6372.564860744581</v>
      </c>
      <c r="F8" s="448">
        <f>industrie!F18</f>
        <v>27606.081966684673</v>
      </c>
      <c r="G8" s="448">
        <f>industrie!G18</f>
        <v>0</v>
      </c>
      <c r="H8" s="448">
        <f>industrie!H18</f>
        <v>0</v>
      </c>
      <c r="I8" s="448">
        <f>industrie!I18</f>
        <v>0</v>
      </c>
      <c r="J8" s="448">
        <f>industrie!J18</f>
        <v>185.40979560013591</v>
      </c>
      <c r="K8" s="448">
        <f>industrie!K18</f>
        <v>0</v>
      </c>
      <c r="L8" s="448">
        <f>industrie!L18</f>
        <v>0</v>
      </c>
      <c r="M8" s="448">
        <f>industrie!M18</f>
        <v>0</v>
      </c>
      <c r="N8" s="448">
        <f>industrie!N18</f>
        <v>5554.0134143278774</v>
      </c>
      <c r="O8" s="448">
        <f>industrie!O18</f>
        <v>0</v>
      </c>
      <c r="P8" s="449">
        <f>industrie!P18</f>
        <v>0</v>
      </c>
      <c r="Q8" s="447">
        <f t="shared" si="0"/>
        <v>188928.9677272565</v>
      </c>
    </row>
    <row r="9" spans="1:17" s="453" customFormat="1">
      <c r="A9" s="451" t="s">
        <v>555</v>
      </c>
      <c r="B9" s="452">
        <f>transport!B14</f>
        <v>20.525064878366141</v>
      </c>
      <c r="C9" s="452">
        <f>transport!C14</f>
        <v>0</v>
      </c>
      <c r="D9" s="452">
        <f>transport!D14</f>
        <v>18.403684142146027</v>
      </c>
      <c r="E9" s="452">
        <f>transport!E14</f>
        <v>729.30904377104832</v>
      </c>
      <c r="F9" s="452">
        <f>transport!F14</f>
        <v>0</v>
      </c>
      <c r="G9" s="452">
        <f>transport!G14</f>
        <v>261754.58721985135</v>
      </c>
      <c r="H9" s="452">
        <f>transport!H14</f>
        <v>34460.541284566687</v>
      </c>
      <c r="I9" s="452">
        <f>transport!I14</f>
        <v>0</v>
      </c>
      <c r="J9" s="452">
        <f>transport!J14</f>
        <v>0</v>
      </c>
      <c r="K9" s="452">
        <f>transport!K14</f>
        <v>0</v>
      </c>
      <c r="L9" s="452">
        <f>transport!L14</f>
        <v>0</v>
      </c>
      <c r="M9" s="452">
        <f>transport!M14</f>
        <v>13389.324997421048</v>
      </c>
      <c r="N9" s="452">
        <f>transport!N14</f>
        <v>0</v>
      </c>
      <c r="O9" s="452">
        <f>transport!O14</f>
        <v>0</v>
      </c>
      <c r="P9" s="452">
        <f>transport!P14</f>
        <v>0</v>
      </c>
      <c r="Q9" s="451">
        <f>SUM(B9:P9)</f>
        <v>310372.69129463064</v>
      </c>
    </row>
    <row r="10" spans="1:17">
      <c r="A10" s="447" t="s">
        <v>545</v>
      </c>
      <c r="B10" s="448">
        <f>transport!B54</f>
        <v>9.1905352749283633</v>
      </c>
      <c r="C10" s="448">
        <f>transport!C54</f>
        <v>0</v>
      </c>
      <c r="D10" s="448">
        <f>transport!D54</f>
        <v>0</v>
      </c>
      <c r="E10" s="448">
        <f>transport!E54</f>
        <v>0</v>
      </c>
      <c r="F10" s="448">
        <f>transport!F54</f>
        <v>0</v>
      </c>
      <c r="G10" s="448">
        <f>transport!G54</f>
        <v>1788.885687604024</v>
      </c>
      <c r="H10" s="448">
        <f>transport!H54</f>
        <v>0</v>
      </c>
      <c r="I10" s="448">
        <f>transport!I54</f>
        <v>0</v>
      </c>
      <c r="J10" s="448">
        <f>transport!J54</f>
        <v>0</v>
      </c>
      <c r="K10" s="448">
        <f>transport!K54</f>
        <v>0</v>
      </c>
      <c r="L10" s="448">
        <f>transport!L54</f>
        <v>0</v>
      </c>
      <c r="M10" s="448">
        <f>transport!M54</f>
        <v>80.215137370772865</v>
      </c>
      <c r="N10" s="448">
        <f>transport!N54</f>
        <v>0</v>
      </c>
      <c r="O10" s="448">
        <f>transport!O54</f>
        <v>0</v>
      </c>
      <c r="P10" s="449">
        <f>transport!P54</f>
        <v>0</v>
      </c>
      <c r="Q10" s="447">
        <f t="shared" si="0"/>
        <v>1878.2913602497254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1582.15805889326</v>
      </c>
      <c r="C14" s="455"/>
      <c r="D14" s="455">
        <f>'SEAP template'!E25</f>
        <v>3038.00430254295</v>
      </c>
      <c r="E14" s="455"/>
      <c r="F14" s="455"/>
      <c r="G14" s="455"/>
      <c r="H14" s="455"/>
      <c r="I14" s="455"/>
      <c r="J14" s="455"/>
      <c r="K14" s="455"/>
      <c r="L14" s="455"/>
      <c r="M14" s="455"/>
      <c r="N14" s="455"/>
      <c r="O14" s="455"/>
      <c r="P14" s="456"/>
      <c r="Q14" s="447">
        <f t="shared" si="0"/>
        <v>4620.1623614362097</v>
      </c>
    </row>
    <row r="15" spans="1:17" s="460" customFormat="1">
      <c r="A15" s="457" t="s">
        <v>549</v>
      </c>
      <c r="B15" s="458">
        <f ca="1">SUM(B4:B14)</f>
        <v>209377.51105737605</v>
      </c>
      <c r="C15" s="458">
        <f t="shared" ref="C15:Q15" ca="1" si="1">SUM(C4:C14)</f>
        <v>95296.339285714261</v>
      </c>
      <c r="D15" s="458">
        <f t="shared" ca="1" si="1"/>
        <v>235154.33160428455</v>
      </c>
      <c r="E15" s="458">
        <f t="shared" si="1"/>
        <v>9461.1219273531005</v>
      </c>
      <c r="F15" s="458">
        <f t="shared" ca="1" si="1"/>
        <v>156189.36907144723</v>
      </c>
      <c r="G15" s="458">
        <f t="shared" si="1"/>
        <v>263543.47290745541</v>
      </c>
      <c r="H15" s="458">
        <f t="shared" si="1"/>
        <v>34460.541284566687</v>
      </c>
      <c r="I15" s="458">
        <f t="shared" si="1"/>
        <v>0</v>
      </c>
      <c r="J15" s="458">
        <f t="shared" si="1"/>
        <v>3620.32648484643</v>
      </c>
      <c r="K15" s="458">
        <f t="shared" si="1"/>
        <v>0</v>
      </c>
      <c r="L15" s="458">
        <f t="shared" ca="1" si="1"/>
        <v>0</v>
      </c>
      <c r="M15" s="458">
        <f t="shared" si="1"/>
        <v>13469.540134791821</v>
      </c>
      <c r="N15" s="458">
        <f t="shared" ca="1" si="1"/>
        <v>18019.413604294867</v>
      </c>
      <c r="O15" s="458">
        <f t="shared" si="1"/>
        <v>354.87666666666672</v>
      </c>
      <c r="P15" s="458">
        <f t="shared" si="1"/>
        <v>991.4666666666667</v>
      </c>
      <c r="Q15" s="458">
        <f t="shared" ca="1" si="1"/>
        <v>1039938.3106954638</v>
      </c>
    </row>
    <row r="17" spans="1:17">
      <c r="A17" s="461" t="s">
        <v>550</v>
      </c>
      <c r="B17" s="731">
        <f ca="1">huishoudens!B10</f>
        <v>0.19060218820884273</v>
      </c>
      <c r="C17" s="731">
        <f ca="1">huishoudens!C10</f>
        <v>0.22944543783408441</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7446.0065931160061</v>
      </c>
      <c r="C22" s="448">
        <f t="shared" ref="C22:C32" ca="1" si="3">C4*$C$17</f>
        <v>0</v>
      </c>
      <c r="D22" s="448">
        <f t="shared" ref="D22:D32" si="4">D4*$D$17</f>
        <v>20773.796332881044</v>
      </c>
      <c r="E22" s="448">
        <f t="shared" ref="E22:E32" si="5">E4*$E$17</f>
        <v>370.17857579543801</v>
      </c>
      <c r="F22" s="448">
        <f t="shared" ref="F22:F32" si="6">F4*$F$17</f>
        <v>13343.292606681711</v>
      </c>
      <c r="G22" s="448">
        <f t="shared" ref="G22:G32" si="7">G4*$G$17</f>
        <v>0</v>
      </c>
      <c r="H22" s="448">
        <f t="shared" ref="H22:H32" si="8">H4*$H$17</f>
        <v>0</v>
      </c>
      <c r="I22" s="448">
        <f t="shared" ref="I22:I32" si="9">I4*$I$17</f>
        <v>0</v>
      </c>
      <c r="J22" s="448">
        <f t="shared" ref="J22:J32" si="10">J4*$J$17</f>
        <v>335.03434147722135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42268.308449951423</v>
      </c>
    </row>
    <row r="23" spans="1:17">
      <c r="A23" s="447" t="s">
        <v>149</v>
      </c>
      <c r="B23" s="448">
        <f t="shared" ca="1" si="2"/>
        <v>11142.326966829642</v>
      </c>
      <c r="C23" s="448">
        <f t="shared" ca="1" si="3"/>
        <v>2950.0127721525137</v>
      </c>
      <c r="D23" s="448">
        <f t="shared" ca="1" si="4"/>
        <v>8738.5680145910028</v>
      </c>
      <c r="E23" s="448">
        <f t="shared" si="5"/>
        <v>66.275342832530242</v>
      </c>
      <c r="F23" s="448">
        <f t="shared" ca="1" si="6"/>
        <v>1775.9218939328082</v>
      </c>
      <c r="G23" s="448">
        <f t="shared" si="7"/>
        <v>0</v>
      </c>
      <c r="H23" s="448">
        <f t="shared" si="8"/>
        <v>0</v>
      </c>
      <c r="I23" s="448">
        <f t="shared" si="9"/>
        <v>0</v>
      </c>
      <c r="J23" s="448">
        <f t="shared" si="10"/>
        <v>27.345795965169422</v>
      </c>
      <c r="K23" s="448">
        <f t="shared" si="11"/>
        <v>0</v>
      </c>
      <c r="L23" s="448">
        <f t="shared" ca="1" si="12"/>
        <v>0</v>
      </c>
      <c r="M23" s="448">
        <f t="shared" si="13"/>
        <v>0</v>
      </c>
      <c r="N23" s="448">
        <f t="shared" ca="1" si="14"/>
        <v>0</v>
      </c>
      <c r="O23" s="448">
        <f t="shared" si="15"/>
        <v>0</v>
      </c>
      <c r="P23" s="449">
        <f t="shared" si="16"/>
        <v>0</v>
      </c>
      <c r="Q23" s="447">
        <f t="shared" ref="Q23:Q32" ca="1" si="17">SUM(B23:P23)</f>
        <v>24700.450786303663</v>
      </c>
    </row>
    <row r="24" spans="1:17">
      <c r="A24" s="447" t="s">
        <v>187</v>
      </c>
      <c r="B24" s="448">
        <f t="shared" ca="1" si="2"/>
        <v>274.34688103997371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274.34688103997371</v>
      </c>
    </row>
    <row r="25" spans="1:17">
      <c r="A25" s="447" t="s">
        <v>105</v>
      </c>
      <c r="B25" s="448">
        <f t="shared" ca="1" si="2"/>
        <v>4007.0943675975254</v>
      </c>
      <c r="C25" s="448">
        <f t="shared" ca="1" si="3"/>
        <v>18735.346740142351</v>
      </c>
      <c r="D25" s="448">
        <f t="shared" si="4"/>
        <v>5120.5359015848198</v>
      </c>
      <c r="E25" s="448">
        <f t="shared" si="5"/>
        <v>99.095382556137523</v>
      </c>
      <c r="F25" s="448">
        <f t="shared" si="6"/>
        <v>19212.523156357085</v>
      </c>
      <c r="G25" s="448">
        <f t="shared" si="7"/>
        <v>0</v>
      </c>
      <c r="H25" s="448">
        <f t="shared" si="8"/>
        <v>0</v>
      </c>
      <c r="I25" s="448">
        <f t="shared" si="9"/>
        <v>0</v>
      </c>
      <c r="J25" s="448">
        <f t="shared" si="10"/>
        <v>853.58037055079717</v>
      </c>
      <c r="K25" s="448">
        <f t="shared" si="11"/>
        <v>0</v>
      </c>
      <c r="L25" s="448">
        <f t="shared" si="12"/>
        <v>0</v>
      </c>
      <c r="M25" s="448">
        <f t="shared" si="13"/>
        <v>0</v>
      </c>
      <c r="N25" s="448">
        <f t="shared" si="14"/>
        <v>0</v>
      </c>
      <c r="O25" s="448">
        <f t="shared" si="15"/>
        <v>0</v>
      </c>
      <c r="P25" s="449">
        <f t="shared" si="16"/>
        <v>0</v>
      </c>
      <c r="Q25" s="447">
        <f t="shared" ca="1" si="17"/>
        <v>48028.175918788722</v>
      </c>
    </row>
    <row r="26" spans="1:17">
      <c r="A26" s="447" t="s">
        <v>614</v>
      </c>
      <c r="B26" s="448">
        <f t="shared" ca="1" si="2"/>
        <v>16730.810314143426</v>
      </c>
      <c r="C26" s="448">
        <f t="shared" ca="1" si="3"/>
        <v>179.95077910130337</v>
      </c>
      <c r="D26" s="448">
        <f t="shared" si="4"/>
        <v>12250.880321698236</v>
      </c>
      <c r="E26" s="448">
        <f t="shared" si="5"/>
        <v>1446.5722233890199</v>
      </c>
      <c r="F26" s="448">
        <f t="shared" si="6"/>
        <v>7370.8238851048081</v>
      </c>
      <c r="G26" s="448">
        <f t="shared" si="7"/>
        <v>0</v>
      </c>
      <c r="H26" s="448">
        <f t="shared" si="8"/>
        <v>0</v>
      </c>
      <c r="I26" s="448">
        <f t="shared" si="9"/>
        <v>0</v>
      </c>
      <c r="J26" s="448">
        <f t="shared" si="10"/>
        <v>65.635067642448107</v>
      </c>
      <c r="K26" s="448">
        <f t="shared" si="11"/>
        <v>0</v>
      </c>
      <c r="L26" s="448">
        <f t="shared" si="12"/>
        <v>0</v>
      </c>
      <c r="M26" s="448">
        <f t="shared" si="13"/>
        <v>0</v>
      </c>
      <c r="N26" s="448">
        <f t="shared" si="14"/>
        <v>0</v>
      </c>
      <c r="O26" s="448">
        <f t="shared" si="15"/>
        <v>0</v>
      </c>
      <c r="P26" s="449">
        <f t="shared" si="16"/>
        <v>0</v>
      </c>
      <c r="Q26" s="447">
        <f t="shared" ca="1" si="17"/>
        <v>38044.672591079237</v>
      </c>
    </row>
    <row r="27" spans="1:17" s="453" customFormat="1">
      <c r="A27" s="451" t="s">
        <v>555</v>
      </c>
      <c r="B27" s="725">
        <f t="shared" ca="1" si="2"/>
        <v>3.9121222789450507</v>
      </c>
      <c r="C27" s="452">
        <f t="shared" ca="1" si="3"/>
        <v>0</v>
      </c>
      <c r="D27" s="452">
        <f t="shared" si="4"/>
        <v>3.7175441967134977</v>
      </c>
      <c r="E27" s="452">
        <f t="shared" si="5"/>
        <v>165.55315293602797</v>
      </c>
      <c r="F27" s="452">
        <f t="shared" si="6"/>
        <v>0</v>
      </c>
      <c r="G27" s="452">
        <f t="shared" si="7"/>
        <v>69888.47478770031</v>
      </c>
      <c r="H27" s="452">
        <f t="shared" si="8"/>
        <v>8580.674779857105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78642.332386969094</v>
      </c>
    </row>
    <row r="28" spans="1:17">
      <c r="A28" s="447" t="s">
        <v>545</v>
      </c>
      <c r="B28" s="448">
        <f t="shared" ca="1" si="2"/>
        <v>1.751736134211904</v>
      </c>
      <c r="C28" s="448">
        <f t="shared" ca="1" si="3"/>
        <v>0</v>
      </c>
      <c r="D28" s="448">
        <f t="shared" si="4"/>
        <v>0</v>
      </c>
      <c r="E28" s="448">
        <f t="shared" si="5"/>
        <v>0</v>
      </c>
      <c r="F28" s="448">
        <f t="shared" si="6"/>
        <v>0</v>
      </c>
      <c r="G28" s="448">
        <f t="shared" si="7"/>
        <v>477.63247859027445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479.38421472448636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301.56278811731039</v>
      </c>
      <c r="C32" s="448">
        <f t="shared" ca="1" si="3"/>
        <v>0</v>
      </c>
      <c r="D32" s="448">
        <f t="shared" si="4"/>
        <v>613.67686911367593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915.23965723098627</v>
      </c>
    </row>
    <row r="33" spans="1:17" s="460" customFormat="1">
      <c r="A33" s="457" t="s">
        <v>549</v>
      </c>
      <c r="B33" s="458">
        <f ca="1">SUM(B22:B32)</f>
        <v>39907.811769257045</v>
      </c>
      <c r="C33" s="458">
        <f t="shared" ref="C33:Q33" ca="1" si="18">SUM(C22:C32)</f>
        <v>21865.310291396167</v>
      </c>
      <c r="D33" s="458">
        <f t="shared" ca="1" si="18"/>
        <v>47501.174984065488</v>
      </c>
      <c r="E33" s="458">
        <f t="shared" si="18"/>
        <v>2147.6746775091538</v>
      </c>
      <c r="F33" s="458">
        <f t="shared" ca="1" si="18"/>
        <v>41702.561542076408</v>
      </c>
      <c r="G33" s="458">
        <f t="shared" si="18"/>
        <v>70366.107266290579</v>
      </c>
      <c r="H33" s="458">
        <f t="shared" si="18"/>
        <v>8580.674779857105</v>
      </c>
      <c r="I33" s="458">
        <f t="shared" si="18"/>
        <v>0</v>
      </c>
      <c r="J33" s="458">
        <f t="shared" si="18"/>
        <v>1281.5955756356361</v>
      </c>
      <c r="K33" s="458">
        <f t="shared" si="18"/>
        <v>0</v>
      </c>
      <c r="L33" s="458">
        <f t="shared" ca="1" si="18"/>
        <v>0</v>
      </c>
      <c r="M33" s="458">
        <f t="shared" si="18"/>
        <v>0</v>
      </c>
      <c r="N33" s="458">
        <f t="shared" ca="1" si="18"/>
        <v>0</v>
      </c>
      <c r="O33" s="458">
        <f t="shared" si="18"/>
        <v>0</v>
      </c>
      <c r="P33" s="458">
        <f t="shared" si="18"/>
        <v>0</v>
      </c>
      <c r="Q33" s="458">
        <f t="shared" ca="1" si="18"/>
        <v>233352.91088608757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22081.854630000002</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7955.9276380596566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2595.028890696246</v>
      </c>
      <c r="C8" s="982">
        <f>'SEAP template'!C76</f>
        <v>64908.008609303746</v>
      </c>
      <c r="D8" s="982">
        <f>'SEAP template'!D76</f>
        <v>75392.10685092675</v>
      </c>
      <c r="E8" s="982">
        <f>'SEAP template'!E76</f>
        <v>0</v>
      </c>
      <c r="F8" s="982">
        <f>'SEAP template'!F76</f>
        <v>970.25621884236114</v>
      </c>
      <c r="G8" s="982">
        <f>'SEAP template'!G76</f>
        <v>0</v>
      </c>
      <c r="H8" s="982">
        <f>'SEAP template'!H76</f>
        <v>0</v>
      </c>
      <c r="I8" s="982">
        <f>'SEAP template'!I76</f>
        <v>2910.7686565270833</v>
      </c>
      <c r="J8" s="982">
        <f>'SEAP template'!J76</f>
        <v>142.20650899791198</v>
      </c>
      <c r="K8" s="982">
        <f>'SEAP template'!K76</f>
        <v>0</v>
      </c>
      <c r="L8" s="982">
        <f>'SEAP template'!L76</f>
        <v>0</v>
      </c>
      <c r="M8" s="982">
        <f>'SEAP template'!M76</f>
        <v>0</v>
      </c>
      <c r="N8" s="982">
        <f>'SEAP template'!N76</f>
        <v>0</v>
      </c>
      <c r="O8" s="982">
        <f>'SEAP template'!O76</f>
        <v>0</v>
      </c>
      <c r="P8" s="983">
        <f>'SEAP template'!Q76</f>
        <v>15488.263994318115</v>
      </c>
    </row>
    <row r="9" spans="1:16">
      <c r="A9" s="985" t="s">
        <v>821</v>
      </c>
      <c r="B9" s="982">
        <f>'SEAP template'!B77</f>
        <v>1341</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3831.4285714285716</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33973.811158755903</v>
      </c>
      <c r="C10" s="986">
        <f>SUM(C4:C9)</f>
        <v>64908.008609303746</v>
      </c>
      <c r="D10" s="986">
        <f t="shared" ref="D10:H10" si="0">SUM(D8:D9)</f>
        <v>75392.10685092675</v>
      </c>
      <c r="E10" s="986">
        <f t="shared" si="0"/>
        <v>0</v>
      </c>
      <c r="F10" s="986">
        <f t="shared" si="0"/>
        <v>970.25621884236114</v>
      </c>
      <c r="G10" s="986">
        <f t="shared" si="0"/>
        <v>0</v>
      </c>
      <c r="H10" s="986">
        <f t="shared" si="0"/>
        <v>0</v>
      </c>
      <c r="I10" s="986">
        <f>SUM(I8:I9)</f>
        <v>2910.7686565270833</v>
      </c>
      <c r="J10" s="986">
        <f>SUM(J8:J9)</f>
        <v>3973.6350804264835</v>
      </c>
      <c r="K10" s="986">
        <f t="shared" ref="K10:L10" si="1">SUM(K8:K9)</f>
        <v>0</v>
      </c>
      <c r="L10" s="986">
        <f t="shared" si="1"/>
        <v>0</v>
      </c>
      <c r="M10" s="986">
        <f>SUM(M8:M9)</f>
        <v>0</v>
      </c>
      <c r="N10" s="986">
        <f>SUM(N8:N9)</f>
        <v>0</v>
      </c>
      <c r="O10" s="986">
        <f>SUM(O8:O9)</f>
        <v>0</v>
      </c>
      <c r="P10" s="986">
        <f>SUM(P8:P9)</f>
        <v>15488.263994318115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0.19060218820884273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3663.4907521608975</v>
      </c>
      <c r="C17" s="988">
        <f>'SEAP template'!C87</f>
        <v>91632.848533553377</v>
      </c>
      <c r="D17" s="983">
        <f>'SEAP template'!D87</f>
        <v>106433.60743478751</v>
      </c>
      <c r="E17" s="983">
        <f>'SEAP template'!E87</f>
        <v>0</v>
      </c>
      <c r="F17" s="983">
        <f>'SEAP template'!F87</f>
        <v>1369.743781157639</v>
      </c>
      <c r="G17" s="983">
        <f>'SEAP template'!G87</f>
        <v>0</v>
      </c>
      <c r="H17" s="983">
        <f>'SEAP template'!H87</f>
        <v>0</v>
      </c>
      <c r="I17" s="983">
        <f>'SEAP template'!I87</f>
        <v>4109.2313434729167</v>
      </c>
      <c r="J17" s="983">
        <f>'SEAP template'!J87</f>
        <v>200.75777671637374</v>
      </c>
      <c r="K17" s="983">
        <f>'SEAP template'!K87</f>
        <v>0</v>
      </c>
      <c r="L17" s="983">
        <f>'SEAP template'!L87</f>
        <v>0</v>
      </c>
      <c r="M17" s="983">
        <f>'SEAP template'!M87</f>
        <v>0</v>
      </c>
      <c r="N17" s="983">
        <f>'SEAP template'!N87</f>
        <v>0</v>
      </c>
      <c r="O17" s="983">
        <f>'SEAP template'!O87</f>
        <v>0</v>
      </c>
      <c r="P17" s="983">
        <f>'SEAP template'!Q87</f>
        <v>21865.310291396167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3663.4907521608975</v>
      </c>
      <c r="C20" s="986">
        <f>SUM(C17:C19)</f>
        <v>91632.848533553377</v>
      </c>
      <c r="D20" s="986">
        <f t="shared" ref="D20:H20" si="2">SUM(D17:D19)</f>
        <v>106433.60743478751</v>
      </c>
      <c r="E20" s="986">
        <f t="shared" si="2"/>
        <v>0</v>
      </c>
      <c r="F20" s="986">
        <f t="shared" si="2"/>
        <v>1369.743781157639</v>
      </c>
      <c r="G20" s="986">
        <f t="shared" si="2"/>
        <v>0</v>
      </c>
      <c r="H20" s="986">
        <f t="shared" si="2"/>
        <v>0</v>
      </c>
      <c r="I20" s="986">
        <f>SUM(I17:I19)</f>
        <v>4109.2313434729167</v>
      </c>
      <c r="J20" s="986">
        <f>SUM(J17:J19)</f>
        <v>200.75777671637374</v>
      </c>
      <c r="K20" s="986">
        <f t="shared" ref="K20:L20" si="3">SUM(K17:K19)</f>
        <v>0</v>
      </c>
      <c r="L20" s="986">
        <f t="shared" si="3"/>
        <v>0</v>
      </c>
      <c r="M20" s="986">
        <f>SUM(M17:M19)</f>
        <v>0</v>
      </c>
      <c r="N20" s="986">
        <f>SUM(N17:N19)</f>
        <v>0</v>
      </c>
      <c r="O20" s="986">
        <f>SUM(O17:O19)</f>
        <v>0</v>
      </c>
      <c r="P20" s="986">
        <f>SUM(P17:P19)</f>
        <v>21865.310291396167</v>
      </c>
    </row>
    <row r="22" spans="1:16">
      <c r="A22" s="461" t="s">
        <v>829</v>
      </c>
      <c r="B22" s="731" t="s">
        <v>823</v>
      </c>
      <c r="C22" s="731">
        <f ca="1">'EF ele_warmte'!B22</f>
        <v>0.22944543783408441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0.19060218820884273</v>
      </c>
      <c r="C17" s="498">
        <f ca="1">'EF ele_warmte'!B22</f>
        <v>0.22944543783408441</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2022-07-26T11:53:48Z</dcterms:modified>
</cp:coreProperties>
</file>