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2EAE7138-6568-4975-B776-1BD89CA226C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U38" i="18"/>
  <c r="T38" i="18"/>
  <c r="I9" i="18"/>
  <c r="S38" i="18"/>
  <c r="E9" i="18"/>
  <c r="R38" i="18"/>
  <c r="Q38"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D10" i="18"/>
  <c r="B6" i="18"/>
  <c r="B5" i="18"/>
  <c r="B4" i="18"/>
  <c r="J9" i="18"/>
  <c r="O9" i="18"/>
  <c r="B47" i="18"/>
  <c r="I51" i="18"/>
  <c r="H17" i="18"/>
  <c r="H20" i="18"/>
  <c r="B20" i="18"/>
  <c r="C47" i="18"/>
  <c r="E50" i="18"/>
  <c r="E8" i="18"/>
  <c r="E10" i="18"/>
  <c r="O18" i="18"/>
  <c r="G20" i="18"/>
  <c r="K20" i="18"/>
  <c r="B10" i="18"/>
  <c r="O19" i="18"/>
  <c r="N6" i="17"/>
  <c r="B51" i="18"/>
  <c r="C17" i="18"/>
  <c r="C20" i="18"/>
  <c r="C51" i="18"/>
  <c r="H51" i="18"/>
  <c r="D51" i="18"/>
  <c r="J17" i="18"/>
  <c r="J20" i="18"/>
  <c r="F51" i="18"/>
  <c r="E51" i="18"/>
  <c r="E17" i="18"/>
  <c r="E20" i="18"/>
  <c r="G51" i="18"/>
  <c r="I17" i="18"/>
  <c r="I20" i="18"/>
  <c r="I50" i="18"/>
  <c r="H8" i="18"/>
  <c r="H10" i="18"/>
  <c r="G50" i="18"/>
  <c r="F50" i="18"/>
  <c r="I8" i="18"/>
  <c r="I10" i="18"/>
  <c r="D50" i="18"/>
  <c r="C50" i="18"/>
  <c r="B50" i="18"/>
  <c r="C8" i="18"/>
  <c r="C10" i="18"/>
  <c r="H50"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<sst xmlns="http://schemas.openxmlformats.org/spreadsheetml/2006/main" count="2456" uniqueCount="911">
  <si>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</si>
  <si>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</si>
  <si>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</si>
  <si>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</si>
  <si>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</si>
  <si>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</si>
  <si>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</si>
  <si>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</si>
  <si>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</si>
  <si>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</si>
  <si>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</si>
  <si>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</si>
  <si>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</si>
  <si>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</si>
  <si>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</si>
  <si>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</si>
  <si>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</si>
  <si>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</si>
  <si>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</si>
  <si>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</si>
  <si>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</si>
  <si>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</si>
  <si>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</si>
  <si>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</si>
  <si>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</si>
  <si>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</si>
  <si>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</si>
  <si>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</si>
  <si>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</si>
  <si>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</si>
  <si>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</si>
  <si>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</si>
  <si>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</si>
  <si>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</si>
  <si>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</si>
  <si>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</si>
  <si>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</si>
  <si>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</si>
  <si>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</si>
  <si>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</si>
  <si>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</si>
  <si>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</si>
  <si>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</si>
  <si>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</si>
  <si>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</si>
  <si>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</si>
  <si>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</si>
  <si>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</si>
  <si>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</si>
  <si>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</si>
  <si>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</si>
  <si>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</si>
  <si>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</si>
  <si>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</si>
  <si>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</si>
  <si>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</si>
  <si>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</si>
  <si>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</si>
  <si>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</si>
  <si>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</si>
  <si>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</si>
  <si>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</si>
  <si>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</si>
  <si>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</si>
  <si>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</si>
  <si>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</si>
  <si>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</si>
  <si>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</si>
  <si>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</si>
  <si>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</si>
  <si>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</si>
  <si>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</si>
  <si>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</si>
  <si>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</si>
  <si>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</si>
  <si>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</si>
  <si>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</si>
  <si>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</si>
  <si>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</si>
  <si>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</si>
  <si>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</si>
  <si>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</si>
  <si>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</si>
  <si>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</si>
  <si>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</si>
  <si>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</si>
  <si>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</si>
  <si>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</si>
  <si>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</si>
  <si>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</si>
  <si>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</si>
  <si>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</si>
  <si>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</si>
  <si>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</si>
  <si>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</si>
  <si>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</si>
  <si>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</si>
  <si>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</si>
  <si>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</si>
  <si>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</si>
  <si>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</si>
  <si>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</si>
  <si>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</si>
  <si>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</si>
  <si>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</si>
  <si>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</si>
  <si>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</si>
  <si>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</si>
  <si>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</si>
  <si>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</si>
  <si>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</si>
  <si>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</si>
  <si>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</si>
  <si>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</si>
  <si>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</si>
  <si>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</si>
  <si>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</si>
  <si>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</si>
  <si>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</si>
  <si>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</si>
  <si>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</si>
  <si>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</si>
  <si>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</si>
  <si>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</si>
  <si>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</si>
  <si>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</si>
  <si>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</si>
  <si>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</si>
  <si>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</si>
  <si>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</si>
  <si>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</si>
  <si>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</si>
  <si>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</si>
  <si>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</si>
  <si>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</si>
  <si>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</si>
  <si>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</si>
  <si>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</si>
  <si>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</si>
  <si>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</si>
  <si>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</si>
  <si>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</si>
  <si>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</si>
  <si>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</si>
  <si>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</si>
  <si>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</si>
  <si>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</si>
  <si>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</si>
  <si>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</si>
  <si>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</si>
  <si>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</si>
  <si>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</si>
  <si>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</si>
  <si>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</si>
  <si>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</si>
  <si>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</si>
  <si>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</si>
  <si>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</si>
  <si>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</si>
  <si>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</si>
  <si>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</si>
  <si>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</si>
  <si>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</si>
  <si>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</si>
  <si>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</si>
  <si>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</si>
  <si>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</si>
  <si>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</si>
  <si>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</si>
  <si>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</si>
  <si>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</si>
  <si>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</si>
  <si>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</si>
  <si>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</si>
  <si>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</si>
  <si>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</si>
  <si>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</si>
  <si>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</si>
  <si>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</si>
  <si>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</si>
  <si>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</si>
  <si>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</si>
  <si>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</si>
  <si>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</si>
  <si>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</si>
  <si>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</si>
  <si>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</si>
  <si>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</si>
  <si>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</si>
  <si>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</si>
  <si>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</si>
  <si>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</si>
  <si>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</si>
  <si>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</si>
  <si>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</si>
  <si>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</si>
  <si>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</si>
  <si>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</si>
  <si>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</si>
  <si>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</si>
  <si>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</si>
  <si>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</si>
  <si>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</si>
  <si>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</si>
  <si>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</si>
  <si>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</si>
  <si>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</si>
  <si>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</si>
  <si>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</si>
  <si>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</si>
  <si>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</si>
  <si>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</si>
  <si>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</si>
  <si>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</si>
  <si>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</si>
  <si>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</si>
  <si>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</si>
  <si>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</si>
  <si>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</si>
  <si>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</si>
  <si>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</si>
  <si>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</si>
  <si>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</si>
  <si>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</si>
  <si>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</si>
  <si>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</si>
  <si>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</si>
  <si>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</si>
  <si>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</si>
  <si>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</si>
  <si>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</si>
  <si>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</si>
  <si>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</si>
  <si>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</si>
  <si>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</si>
  <si>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</si>
  <si>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</si>
  <si>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</si>
  <si>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</si>
  <si>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</si>
  <si>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</si>
  <si>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</si>
  <si>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</si>
  <si>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</si>
  <si>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</si>
  <si>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</si>
  <si>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</si>
  <si>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</si>
  <si>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</si>
  <si>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</si>
  <si>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</si>
  <si>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</si>
  <si>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</si>
  <si>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</si>
  <si>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</si>
  <si>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</si>
  <si>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</si>
  <si>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</si>
  <si>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</si>
  <si>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</si>
  <si>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</si>
  <si>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</si>
  <si>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</si>
  <si>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</si>
  <si>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</si>
  <si>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</si>
  <si>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</si>
  <si>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</si>
  <si>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</si>
  <si>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</si>
  <si>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</si>
  <si>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</si>
  <si>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</si>
  <si>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</si>
  <si>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</si>
  <si>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</si>
  <si>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</si>
  <si>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</si>
  <si>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</si>
  <si>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</si>
  <si>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</si>
  <si>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</si>
  <si>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</si>
  <si>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</si>
  <si>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</si>
  <si>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</si>
  <si>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</si>
  <si>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</si>
  <si>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</si>
  <si>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</si>
  <si>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</si>
  <si>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</si>
  <si>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</si>
  <si>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</si>
  <si>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</si>
  <si>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</si>
  <si>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</si>
  <si>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</si>
  <si>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</si>
  <si>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</si>
  <si>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</si>
  <si>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</si>
  <si>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</si>
  <si>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</si>
  <si>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</si>
  <si>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</si>
  <si>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</si>
  <si>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</si>
  <si>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</si>
  <si>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</si>
  <si>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</si>
  <si>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</si>
  <si>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</si>
  <si>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</si>
  <si>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</si>
  <si>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</si>
  <si>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</si>
  <si>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</si>
  <si>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</si>
  <si>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</si>
  <si>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</si>
  <si>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</si>
  <si>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</si>
  <si>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</si>
  <si>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</si>
  <si>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</si>
  <si>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</si>
  <si>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</si>
  <si>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</si>
  <si>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</si>
  <si>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</si>
  <si>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</si>
  <si>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</si>
  <si>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</si>
  <si>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</si>
  <si>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</si>
  <si>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</si>
  <si>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</si>
  <si>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</si>
  <si>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</si>
  <si>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</si>
  <si>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</si>
  <si>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</si>
  <si>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</si>
  <si>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</si>
  <si>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</si>
  <si>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</si>
  <si>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</si>
  <si>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</si>
  <si>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</si>
  <si>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</si>
  <si>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</si>
  <si>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</si>
  <si>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</si>
  <si>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</si>
  <si>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</si>
  <si>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</si>
  <si>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</si>
  <si>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</si>
  <si>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</si>
  <si>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</si>
  <si>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</si>
  <si>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</si>
  <si>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</si>
  <si>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</si>
  <si>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</si>
  <si>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</si>
  <si>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</si>
  <si>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</si>
  <si>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</si>
  <si>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</si>
  <si>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</si>
  <si>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</si>
  <si>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</si>
  <si>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</si>
  <si>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</si>
  <si>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</si>
  <si>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</si>
  <si>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</si>
  <si>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</si>
  <si>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</si>
  <si>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</si>
  <si>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</si>
  <si>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</si>
  <si>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</si>
  <si>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</si>
  <si>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</si>
  <si>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</si>
  <si>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</si>
  <si>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</si>
  <si>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</si>
  <si>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</si>
  <si>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</si>
  <si>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</si>
  <si>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</si>
  <si>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</si>
  <si>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</si>
  <si>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</si>
  <si>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</si>
  <si>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</si>
  <si>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</si>
  <si>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</si>
  <si>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</si>
  <si>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</si>
  <si>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</si>
  <si>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</si>
  <si>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</si>
  <si>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</si>
  <si>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</si>
  <si>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</si>
  <si>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</si>
  <si>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</si>
  <si>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</si>
  <si>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</si>
  <si>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</si>
  <si>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</si>
  <si>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</si>
  <si>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</si>
  <si>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</si>
  <si>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</si>
  <si>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</si>
  <si>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</si>
  <si>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</si>
  <si>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</si>
  <si>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</si>
  <si>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</si>
  <si>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</si>
  <si>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</si>
  <si>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</si>
  <si>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</si>
  <si>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</si>
  <si>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</si>
  <si>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</si>
  <si>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</si>
  <si>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</si>
  <si>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</si>
  <si>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</si>
  <si>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</si>
  <si>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</si>
  <si>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</si>
  <si>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</si>
  <si>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</si>
  <si>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</si>
  <si>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</si>
  <si>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</si>
  <si>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</si>
  <si>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</si>
  <si>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</si>
  <si>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</si>
  <si>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</si>
  <si>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</si>
  <si>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</si>
  <si>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</si>
  <si>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</si>
  <si>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</si>
  <si>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</si>
  <si>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</si>
  <si>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</si>
  <si>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</si>
  <si>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</si>
  <si>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</si>
  <si>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</si>
  <si>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</si>
  <si>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</si>
  <si>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</si>
  <si>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</si>
  <si>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</si>
  <si>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</si>
  <si>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</si>
  <si>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</si>
  <si>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</si>
  <si>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</si>
  <si>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</si>
  <si>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</si>
  <si>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</si>
  <si>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</si>
  <si>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</si>
  <si>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</si>
  <si>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</si>
  <si>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</si>
  <si>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</si>
  <si>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</si>
  <si>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</si>
  <si>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</si>
  <si>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</si>
  <si>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</si>
  <si>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</si>
  <si>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</si>
  <si>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</si>
  <si>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</si>
  <si>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</si>
  <si>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</si>
  <si>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</si>
  <si>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</si>
  <si>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</si>
  <si>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</si>
  <si>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</si>
  <si>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</si>
  <si>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</si>
  <si>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</si>
  <si>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</si>
  <si>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</si>
  <si>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</si>
  <si>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</si>
  <si>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</si>
  <si>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</si>
  <si>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</si>
  <si>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</si>
  <si>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</si>
  <si>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</si>
  <si>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</si>
  <si>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</si>
  <si>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</si>
  <si>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</si>
  <si>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</si>
  <si>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</si>
  <si>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</si>
  <si>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</si>
  <si>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</si>
  <si>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</si>
  <si>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</si>
  <si>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</si>
  <si>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</si>
  <si>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</si>
  <si>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</si>
  <si>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</si>
  <si>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</si>
  <si>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</si>
  <si>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</si>
  <si>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</si>
  <si>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</si>
  <si>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</si>
  <si>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</si>
  <si>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</si>
  <si>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</si>
  <si>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</si>
  <si>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</si>
  <si>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</si>
  <si>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</si>
  <si>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</si>
  <si>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</si>
  <si>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</si>
  <si>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</si>
  <si>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</si>
  <si>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</si>
  <si>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</si>
  <si>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</si>
  <si>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</si>
  <si>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</si>
  <si>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</si>
  <si>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</si>
  <si>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</si>
  <si>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</si>
  <si>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</si>
  <si>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</si>
  <si>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</si>
  <si>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</si>
  <si>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</si>
  <si>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</si>
  <si>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</si>
  <si>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</si>
  <si>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</si>
  <si>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</si>
  <si>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</si>
  <si>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</si>
  <si>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</si>
  <si>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</si>
  <si>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</si>
  <si>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</si>
  <si>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</si>
  <si>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</si>
  <si>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</si>
  <si>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</si>
  <si>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</si>
  <si>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</si>
  <si>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</si>
  <si>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</si>
  <si>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</si>
  <si>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</si>
  <si>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</si>
  <si>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</si>
  <si>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</si>
  <si>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</si>
  <si>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</si>
  <si>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</si>
  <si>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</si>
  <si>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</si>
  <si>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</si>
  <si>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</si>
  <si>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</si>
  <si>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</si>
  <si>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</si>
  <si>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</si>
  <si>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</si>
  <si>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</si>
  <si>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</si>
  <si>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</si>
  <si>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</si>
  <si>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</si>
  <si>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</si>
  <si>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</si>
  <si>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</si>
  <si>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</si>
  <si>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</si>
  <si>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</si>
  <si>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</si>
  <si>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</si>
  <si>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</si>
  <si>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</si>
  <si>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</si>
  <si>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</si>
  <si>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</si>
  <si>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</si>
  <si>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</si>
  <si>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</si>
  <si>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</si>
  <si>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</si>
  <si>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</si>
  <si>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</si>
  <si>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</si>
  <si>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</si>
  <si>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</si>
  <si>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</si>
  <si>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</si>
  <si>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</si>
  <si>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</si>
  <si>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</si>
  <si>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</si>
  <si>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</si>
  <si>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</si>
  <si>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</si>
  <si>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</si>
  <si>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</si>
  <si>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</si>
  <si>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</si>
  <si>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</si>
  <si>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</si>
  <si>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</si>
  <si>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</si>
  <si>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</si>
  <si>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</si>
  <si>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</si>
  <si>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</si>
  <si>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</si>
  <si>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</si>
  <si>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</si>
  <si>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</si>
  <si>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</si>
  <si>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</si>
  <si>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</si>
  <si>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</si>
  <si>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</si>
  <si>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</si>
  <si>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</si>
  <si>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</si>
  <si>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</si>
  <si>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</si>
  <si>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</si>
  <si>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</si>
  <si>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</si>
  <si>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</si>
  <si>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</si>
  <si>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</si>
  <si>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</si>
  <si>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</si>
  <si>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</si>
  <si>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</si>
  <si>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</si>
  <si>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</si>
  <si>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</si>
  <si>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</si>
  <si>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</si>
  <si>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</si>
  <si>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</si>
  <si>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</si>
  <si>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</si>
  <si>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</si>
  <si>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</si>
  <si>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</si>
  <si>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</si>
  <si>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</si>
  <si>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</si>
  <si>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</si>
  <si>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</si>
  <si>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</si>
  <si>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</si>
  <si>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</si>
  <si>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</si>
  <si>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</si>
  <si>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</si>
  <si>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</si>
  <si>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</si>
  <si>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</si>
  <si>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</si>
  <si>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</si>
  <si>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</si>
  <si>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</si>
  <si>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</si>
  <si>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</si>
  <si>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</si>
  <si>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</si>
  <si>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</si>
  <si>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</si>
  <si>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</si>
  <si>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</si>
  <si>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</si>
  <si>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</si>
  <si>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</si>
  <si>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</si>
  <si>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</si>
  <si>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</si>
  <si>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</si>
  <si>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</si>
  <si>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</si>
  <si>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</si>
  <si>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</si>
  <si>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</si>
  <si>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</si>
  <si>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</si>
  <si>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</si>
  <si>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</si>
  <si>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</si>
  <si>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</si>
  <si>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</si>
  <si>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</si>
  <si>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</si>
  <si>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</si>
  <si>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</si>
  <si>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</si>
  <si>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</si>
  <si>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</si>
  <si>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</si>
  <si>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</si>
  <si>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</si>
  <si>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</si>
  <si>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</si>
  <si>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</si>
  <si>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</si>
  <si>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</si>
  <si>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</si>
  <si>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</si>
  <si>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</si>
  <si>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</si>
  <si>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</si>
  <si>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</si>
  <si>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</si>
  <si>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</si>
  <si>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</si>
  <si>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</si>
  <si>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</si>
  <si>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</si>
  <si>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</si>
  <si>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</si>
  <si>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</si>
  <si>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</si>
  <si>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</si>
  <si>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</si>
  <si>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</si>
  <si>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</si>
  <si>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</si>
  <si>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</si>
  <si>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</si>
  <si>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</si>
  <si>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</si>
  <si>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</si>
  <si>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</si>
  <si>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</si>
  <si>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</si>
  <si>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</si>
  <si>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</si>
  <si>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</si>
  <si>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</si>
  <si>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</si>
  <si>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</si>
  <si>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</si>
  <si>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</si>
  <si>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</si>
  <si>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</si>
  <si>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</si>
  <si>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</si>
  <si>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</si>
  <si>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</si>
  <si>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</si>
  <si>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</si>
  <si>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</si>
  <si>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</si>
  <si>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</si>
  <si>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</si>
  <si>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</si>
  <si>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</si>
  <si>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</si>
  <si>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</si>
  <si>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</si>
  <si>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</si>
  <si>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</si>
  <si>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</si>
  <si>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</si>
  <si>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</si>
  <si>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</si>
  <si>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</si>
  <si>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</si>
  <si>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</si>
  <si>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</si>
  <si>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</si>
  <si>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</si>
  <si>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</si>
  <si>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</si>
  <si>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</si>
  <si>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</si>
  <si>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</si>
  <si>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</si>
  <si>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</si>
  <si>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</si>
  <si>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</si>
  <si>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</si>
  <si>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</si>
  <si>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</si>
  <si>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</si>
  <si>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</si>
  <si>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</si>
  <si>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</si>
  <si>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</si>
  <si>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</si>
  <si>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</si>
  <si>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</si>
  <si>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</si>
  <si>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</si>
  <si>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</si>
  <si>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</si>
  <si>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</si>
  <si>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</si>
  <si>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</si>
  <si>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</si>
  <si>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</si>
  <si>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</si>
  <si>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</si>
  <si>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</si>
  <si>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</si>
  <si>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</si>
  <si>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</si>
  <si>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</si>
  <si>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</si>
  <si>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</si>
  <si>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</si>
  <si>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</si>
  <si>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</si>
  <si>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</si>
  <si>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</si>
  <si>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</si>
  <si>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</si>
  <si>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</si>
  <si>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</si>
  <si>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</si>
  <si>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</si>
  <si>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</si>
  <si>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</si>
  <si>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</si>
  <si>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</si>
  <si>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</si>
  <si>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</si>
  <si>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</si>
  <si>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</si>
  <si>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</si>
  <si>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</si>
  <si>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</si>
  <si>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</si>
  <si>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</si>
  <si>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</si>
  <si>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</si>
  <si>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</si>
  <si>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</si>
  <si>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</si>
  <si>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</si>
  <si>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</si>
  <si>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</si>
  <si>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</si>
  <si>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</si>
  <si>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</si>
  <si>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</si>
  <si>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</si>
  <si>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</si>
  <si>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</si>
  <si>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</si>
  <si>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</si>
  <si>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</si>
  <si>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</si>
  <si>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</si>
  <si>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</si>
  <si>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</si>
  <si>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</si>
  <si>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</si>
  <si>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</si>
  <si>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</si>
  <si>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</si>
  <si>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</si>
  <si>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</si>
  <si>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</si>
  <si>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</si>
  <si>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</si>
  <si>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</si>
  <si>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</si>
  <si>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</si>
  <si>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11056</t>
  </si>
  <si>
    <t>ZWIJNDRECHT</t>
  </si>
  <si>
    <t>Cultuurgrond (ha)</t>
  </si>
  <si>
    <t>Paarden&amp;pony's 200 - 600 kg</t>
  </si>
  <si>
    <t>Paarden&amp;pony's &lt; 200 kg</t>
  </si>
  <si>
    <t>vloeibaar gas (MWh)</t>
  </si>
  <si>
    <t>interne verbrandingsmotor</t>
  </si>
  <si>
    <t>WKK interne verbrandinsgmotor (gas)</t>
  </si>
  <si>
    <t>IMEA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</si>
</sst>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676546C6-46BB-42A6-9B9F-5A2CFE13C22F}"/>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179002.03919913806</c:v>
                </c:pt>
                <c:pt idx="1">
                  <c:v>56463.753859272147</c:v>
                </c:pt>
                <c:pt idx="2">
                  <c:v>1279.3991244392901</c:v>
                </c:pt>
                <c:pt idx="3">
                  <c:v>55222.367344197832</c:v>
                </c:pt>
                <c:pt idx="4">
                  <c:v>67674.301207833152</c:v>
                </c:pt>
                <c:pt idx="5">
                  <c:v>225113.03984444967</c:v>
                </c:pt>
                <c:pt idx="6">
                  <c:v>2313.7976767399146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179002.03919913806</c:v>
                </c:pt>
                <c:pt idx="1">
                  <c:v>56463.753859272147</c:v>
                </c:pt>
                <c:pt idx="2">
                  <c:v>1279.3991244392901</c:v>
                </c:pt>
                <c:pt idx="3">
                  <c:v>55222.367344197832</c:v>
                </c:pt>
                <c:pt idx="4">
                  <c:v>67674.301207833152</c:v>
                </c:pt>
                <c:pt idx="5">
                  <c:v>225113.03984444967</c:v>
                </c:pt>
                <c:pt idx="6">
                  <c:v>2313.7976767399146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36340.297183628507</c:v>
                </c:pt>
                <c:pt idx="2">
                  <c:v>11554.595525245171</c:v>
                </c:pt>
                <c:pt idx="3">
                  <c:v>276.85696771979241</c:v>
                </c:pt>
                <c:pt idx="4">
                  <c:v>13064.503532420997</c:v>
                </c:pt>
                <c:pt idx="5">
                  <c:v>14610.635084964097</c:v>
                </c:pt>
                <c:pt idx="6">
                  <c:v>57056.645040721873</c:v>
                </c:pt>
                <c:pt idx="7">
                  <c:v>545.15294538682474</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36340.297183628507</c:v>
                </c:pt>
                <c:pt idx="2">
                  <c:v>11554.595525245171</c:v>
                </c:pt>
                <c:pt idx="3">
                  <c:v>276.85696771979241</c:v>
                </c:pt>
                <c:pt idx="4">
                  <c:v>13064.503532420997</c:v>
                </c:pt>
                <c:pt idx="5">
                  <c:v>14610.635084964097</c:v>
                </c:pt>
                <c:pt idx="6">
                  <c:v>57056.645040721873</c:v>
                </c:pt>
                <c:pt idx="7">
                  <c:v>545.15294538682474</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11056</v>
      </c>
      <c r="B6" s="385"/>
      <c r="C6" s="386"/>
    </row>
    <row r="7" spans="1:7" s="383" customFormat="1" ht="15.75" customHeight="1">
      <c r="A7" s="387" t="str">
        <f>txtMunicipality</f>
        <v>ZWIJNDRECHT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0.21639608971995181</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0.21639608971995181</v>
      </c>
      <c r="C29" s="499">
        <f ca="1">'EF ele_warmte'!B22</f>
        <v>0.23764705882352943</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8022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362</v>
      </c>
      <c r="C14" s="327"/>
      <c r="D14" s="327"/>
      <c r="E14" s="327"/>
      <c r="F14" s="327"/>
    </row>
    <row r="15" spans="1:6">
      <c r="A15" s="1258" t="s">
        <v>177</v>
      </c>
      <c r="B15" s="1259">
        <v>0</v>
      </c>
      <c r="C15" s="327"/>
      <c r="D15" s="327"/>
      <c r="E15" s="327"/>
      <c r="F15" s="327"/>
    </row>
    <row r="16" spans="1:6">
      <c r="A16" s="1258" t="s">
        <v>6</v>
      </c>
      <c r="B16" s="1259">
        <v>25</v>
      </c>
      <c r="C16" s="327"/>
      <c r="D16" s="327"/>
      <c r="E16" s="327"/>
      <c r="F16" s="327"/>
    </row>
    <row r="17" spans="1:6">
      <c r="A17" s="1258" t="s">
        <v>7</v>
      </c>
      <c r="B17" s="1259">
        <v>16</v>
      </c>
      <c r="C17" s="327"/>
      <c r="D17" s="327"/>
      <c r="E17" s="327"/>
      <c r="F17" s="327"/>
    </row>
    <row r="18" spans="1:6">
      <c r="A18" s="1258" t="s">
        <v>8</v>
      </c>
      <c r="B18" s="1259">
        <v>26</v>
      </c>
      <c r="C18" s="327"/>
      <c r="D18" s="327"/>
      <c r="E18" s="327"/>
      <c r="F18" s="327"/>
    </row>
    <row r="19" spans="1:6">
      <c r="A19" s="1258" t="s">
        <v>9</v>
      </c>
      <c r="B19" s="1259">
        <v>21</v>
      </c>
      <c r="C19" s="327"/>
      <c r="D19" s="327"/>
      <c r="E19" s="327"/>
      <c r="F19" s="327"/>
    </row>
    <row r="20" spans="1:6">
      <c r="A20" s="1258" t="s">
        <v>10</v>
      </c>
      <c r="B20" s="1259">
        <v>13</v>
      </c>
      <c r="C20" s="327"/>
      <c r="D20" s="327"/>
      <c r="E20" s="327"/>
      <c r="F20" s="327"/>
    </row>
    <row r="21" spans="1:6">
      <c r="A21" s="1258" t="s">
        <v>11</v>
      </c>
      <c r="B21" s="1259">
        <v>77</v>
      </c>
      <c r="C21" s="327"/>
      <c r="D21" s="327"/>
      <c r="E21" s="327"/>
      <c r="F21" s="327"/>
    </row>
    <row r="22" spans="1:6">
      <c r="A22" s="1258" t="s">
        <v>12</v>
      </c>
      <c r="B22" s="1259">
        <v>1057</v>
      </c>
      <c r="C22" s="327"/>
      <c r="D22" s="327"/>
      <c r="E22" s="327"/>
      <c r="F22" s="327"/>
    </row>
    <row r="23" spans="1:6">
      <c r="A23" s="1258" t="s">
        <v>13</v>
      </c>
      <c r="B23" s="1259">
        <v>8</v>
      </c>
      <c r="C23" s="327"/>
      <c r="D23" s="327"/>
      <c r="E23" s="327"/>
      <c r="F23" s="327"/>
    </row>
    <row r="24" spans="1:6">
      <c r="A24" s="1258" t="s">
        <v>14</v>
      </c>
      <c r="B24" s="1259">
        <v>1</v>
      </c>
      <c r="C24" s="327"/>
      <c r="D24" s="327"/>
      <c r="E24" s="327"/>
      <c r="F24" s="327"/>
    </row>
    <row r="25" spans="1:6">
      <c r="A25" s="1258" t="s">
        <v>15</v>
      </c>
      <c r="B25" s="1259">
        <v>38</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2</v>
      </c>
      <c r="C29" s="327"/>
      <c r="D29" s="327"/>
      <c r="E29" s="327"/>
      <c r="F29" s="327"/>
    </row>
    <row r="30" spans="1:6">
      <c r="A30" s="1253" t="s">
        <v>906</v>
      </c>
      <c r="B30" s="1261">
        <v>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6</v>
      </c>
      <c r="D36" s="1259">
        <v>46743832.134777501</v>
      </c>
      <c r="E36" s="1259">
        <v>5</v>
      </c>
      <c r="F36" s="1259">
        <v>13340.407603023201</v>
      </c>
    </row>
    <row r="37" spans="1:6">
      <c r="A37" s="1258" t="s">
        <v>24</v>
      </c>
      <c r="B37" s="1258" t="s">
        <v>27</v>
      </c>
      <c r="C37" s="1259">
        <v>0</v>
      </c>
      <c r="D37" s="1259">
        <v>0</v>
      </c>
      <c r="E37" s="1259">
        <v>0</v>
      </c>
      <c r="F37" s="1259">
        <v>0</v>
      </c>
    </row>
    <row r="38" spans="1:6">
      <c r="A38" s="1258" t="s">
        <v>24</v>
      </c>
      <c r="B38" s="1258" t="s">
        <v>28</v>
      </c>
      <c r="C38" s="1259">
        <v>2</v>
      </c>
      <c r="D38" s="1259">
        <v>35054.265481613402</v>
      </c>
      <c r="E38" s="1259">
        <v>1</v>
      </c>
      <c r="F38" s="1259">
        <v>6419</v>
      </c>
    </row>
    <row r="39" spans="1:6">
      <c r="A39" s="1258" t="s">
        <v>29</v>
      </c>
      <c r="B39" s="1258" t="s">
        <v>30</v>
      </c>
      <c r="C39" s="1259">
        <v>6560</v>
      </c>
      <c r="D39" s="1259">
        <v>111411017.638061</v>
      </c>
      <c r="E39" s="1259">
        <v>8081</v>
      </c>
      <c r="F39" s="1259">
        <v>31627216.000220802</v>
      </c>
    </row>
    <row r="40" spans="1:6">
      <c r="A40" s="1258" t="s">
        <v>29</v>
      </c>
      <c r="B40" s="1258" t="s">
        <v>28</v>
      </c>
      <c r="C40" s="1259">
        <v>0</v>
      </c>
      <c r="D40" s="1259">
        <v>0</v>
      </c>
      <c r="E40" s="1259">
        <v>0</v>
      </c>
      <c r="F40" s="1259">
        <v>0</v>
      </c>
    </row>
    <row r="41" spans="1:6">
      <c r="A41" s="1258" t="s">
        <v>31</v>
      </c>
      <c r="B41" s="1258" t="s">
        <v>32</v>
      </c>
      <c r="C41" s="1259">
        <v>35</v>
      </c>
      <c r="D41" s="1259">
        <v>3534811.85188482</v>
      </c>
      <c r="E41" s="1259">
        <v>85</v>
      </c>
      <c r="F41" s="1259">
        <v>3135662.8726222399</v>
      </c>
    </row>
    <row r="42" spans="1:6">
      <c r="A42" s="1258" t="s">
        <v>31</v>
      </c>
      <c r="B42" s="1258" t="s">
        <v>33</v>
      </c>
      <c r="C42" s="1259">
        <v>0</v>
      </c>
      <c r="D42" s="1259">
        <v>0</v>
      </c>
      <c r="E42" s="1259">
        <v>3</v>
      </c>
      <c r="F42" s="1259">
        <v>3003384.6272402499</v>
      </c>
    </row>
    <row r="43" spans="1:6">
      <c r="A43" s="1258" t="s">
        <v>31</v>
      </c>
      <c r="B43" s="1258" t="s">
        <v>34</v>
      </c>
      <c r="C43" s="1259">
        <v>0</v>
      </c>
      <c r="D43" s="1259">
        <v>0</v>
      </c>
      <c r="E43" s="1259">
        <v>0</v>
      </c>
      <c r="F43" s="1259">
        <v>0</v>
      </c>
    </row>
    <row r="44" spans="1:6">
      <c r="A44" s="1258" t="s">
        <v>31</v>
      </c>
      <c r="B44" s="1258" t="s">
        <v>35</v>
      </c>
      <c r="C44" s="1259">
        <v>0</v>
      </c>
      <c r="D44" s="1259">
        <v>0</v>
      </c>
      <c r="E44" s="1259">
        <v>8</v>
      </c>
      <c r="F44" s="1259">
        <v>1452162.0363197399</v>
      </c>
    </row>
    <row r="45" spans="1:6">
      <c r="A45" s="1258" t="s">
        <v>31</v>
      </c>
      <c r="B45" s="1258" t="s">
        <v>36</v>
      </c>
      <c r="C45" s="1259">
        <v>0</v>
      </c>
      <c r="D45" s="1259">
        <v>0</v>
      </c>
      <c r="E45" s="1259">
        <v>5</v>
      </c>
      <c r="F45" s="1259">
        <v>40905.415000889698</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30</v>
      </c>
      <c r="D48" s="1259">
        <v>9982951.6499386504</v>
      </c>
      <c r="E48" s="1259">
        <v>25</v>
      </c>
      <c r="F48" s="1259">
        <v>32062552.1835224</v>
      </c>
    </row>
    <row r="49" spans="1:6">
      <c r="A49" s="1258" t="s">
        <v>31</v>
      </c>
      <c r="B49" s="1258" t="s">
        <v>39</v>
      </c>
      <c r="C49" s="1259">
        <v>0</v>
      </c>
      <c r="D49" s="1259">
        <v>0</v>
      </c>
      <c r="E49" s="1259">
        <v>0</v>
      </c>
      <c r="F49" s="1259">
        <v>0</v>
      </c>
    </row>
    <row r="50" spans="1:6">
      <c r="A50" s="1258" t="s">
        <v>31</v>
      </c>
      <c r="B50" s="1258" t="s">
        <v>40</v>
      </c>
      <c r="C50" s="1259">
        <v>3</v>
      </c>
      <c r="D50" s="1259">
        <v>523760.34627945803</v>
      </c>
      <c r="E50" s="1259">
        <v>4</v>
      </c>
      <c r="F50" s="1259">
        <v>210036.88862339</v>
      </c>
    </row>
    <row r="51" spans="1:6">
      <c r="A51" s="1258" t="s">
        <v>41</v>
      </c>
      <c r="B51" s="1258" t="s">
        <v>42</v>
      </c>
      <c r="C51" s="1259">
        <v>0</v>
      </c>
      <c r="D51" s="1259">
        <v>0</v>
      </c>
      <c r="E51" s="1259">
        <v>23</v>
      </c>
      <c r="F51" s="1259">
        <v>1281941.25966673</v>
      </c>
    </row>
    <row r="52" spans="1:6">
      <c r="A52" s="1258" t="s">
        <v>41</v>
      </c>
      <c r="B52" s="1258" t="s">
        <v>28</v>
      </c>
      <c r="C52" s="1259">
        <v>7</v>
      </c>
      <c r="D52" s="1259">
        <v>103527010.27533799</v>
      </c>
      <c r="E52" s="1259">
        <v>0</v>
      </c>
      <c r="F52" s="1259">
        <v>0</v>
      </c>
    </row>
    <row r="53" spans="1:6">
      <c r="A53" s="1258" t="s">
        <v>43</v>
      </c>
      <c r="B53" s="1258" t="s">
        <v>44</v>
      </c>
      <c r="C53" s="1259">
        <v>154</v>
      </c>
      <c r="D53" s="1259">
        <v>3308342.7109219199</v>
      </c>
      <c r="E53" s="1259">
        <v>276</v>
      </c>
      <c r="F53" s="1259">
        <v>1991703.48348703</v>
      </c>
    </row>
    <row r="54" spans="1:6">
      <c r="A54" s="1258" t="s">
        <v>45</v>
      </c>
      <c r="B54" s="1258" t="s">
        <v>46</v>
      </c>
      <c r="C54" s="1259">
        <v>0</v>
      </c>
      <c r="D54" s="1259">
        <v>0</v>
      </c>
      <c r="E54" s="1259">
        <v>4</v>
      </c>
      <c r="F54" s="1259">
        <v>1279399.12443929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39</v>
      </c>
      <c r="D57" s="1259">
        <v>2326479.79640842</v>
      </c>
      <c r="E57" s="1259">
        <v>80</v>
      </c>
      <c r="F57" s="1259">
        <v>2694159.50339026</v>
      </c>
    </row>
    <row r="58" spans="1:6">
      <c r="A58" s="1258" t="s">
        <v>48</v>
      </c>
      <c r="B58" s="1258" t="s">
        <v>50</v>
      </c>
      <c r="C58" s="1259">
        <v>13</v>
      </c>
      <c r="D58" s="1259">
        <v>314539.496723513</v>
      </c>
      <c r="E58" s="1259">
        <v>28</v>
      </c>
      <c r="F58" s="1259">
        <v>211879.69689128801</v>
      </c>
    </row>
    <row r="59" spans="1:6">
      <c r="A59" s="1258" t="s">
        <v>48</v>
      </c>
      <c r="B59" s="1258" t="s">
        <v>51</v>
      </c>
      <c r="C59" s="1259">
        <v>94</v>
      </c>
      <c r="D59" s="1259">
        <v>6039558.4365229998</v>
      </c>
      <c r="E59" s="1259">
        <v>155</v>
      </c>
      <c r="F59" s="1259">
        <v>8647690.0139459502</v>
      </c>
    </row>
    <row r="60" spans="1:6">
      <c r="A60" s="1258" t="s">
        <v>48</v>
      </c>
      <c r="B60" s="1258" t="s">
        <v>52</v>
      </c>
      <c r="C60" s="1259">
        <v>50</v>
      </c>
      <c r="D60" s="1259">
        <v>2078967.80618289</v>
      </c>
      <c r="E60" s="1259">
        <v>60</v>
      </c>
      <c r="F60" s="1259">
        <v>1368813.1920930699</v>
      </c>
    </row>
    <row r="61" spans="1:6">
      <c r="A61" s="1258" t="s">
        <v>48</v>
      </c>
      <c r="B61" s="1258" t="s">
        <v>53</v>
      </c>
      <c r="C61" s="1259">
        <v>123</v>
      </c>
      <c r="D61" s="1259">
        <v>9929259.19017574</v>
      </c>
      <c r="E61" s="1259">
        <v>352</v>
      </c>
      <c r="F61" s="1259">
        <v>7322035.49550761</v>
      </c>
    </row>
    <row r="62" spans="1:6">
      <c r="A62" s="1258" t="s">
        <v>48</v>
      </c>
      <c r="B62" s="1258" t="s">
        <v>54</v>
      </c>
      <c r="C62" s="1259">
        <v>3</v>
      </c>
      <c r="D62" s="1259">
        <v>961751.06652470201</v>
      </c>
      <c r="E62" s="1259">
        <v>6</v>
      </c>
      <c r="F62" s="1259">
        <v>121949.87703105601</v>
      </c>
    </row>
    <row r="63" spans="1:6">
      <c r="A63" s="1258" t="s">
        <v>48</v>
      </c>
      <c r="B63" s="1258" t="s">
        <v>28</v>
      </c>
      <c r="C63" s="1259">
        <v>98</v>
      </c>
      <c r="D63" s="1259">
        <v>8198403.0724253301</v>
      </c>
      <c r="E63" s="1259">
        <v>104</v>
      </c>
      <c r="F63" s="1259">
        <v>4033476.4580352502</v>
      </c>
    </row>
    <row r="64" spans="1:6">
      <c r="A64" s="1258" t="s">
        <v>55</v>
      </c>
      <c r="B64" s="1258" t="s">
        <v>56</v>
      </c>
      <c r="C64" s="1259">
        <v>0</v>
      </c>
      <c r="D64" s="1259">
        <v>0</v>
      </c>
      <c r="E64" s="1259">
        <v>0</v>
      </c>
      <c r="F64" s="1259">
        <v>0</v>
      </c>
    </row>
    <row r="65" spans="1:6">
      <c r="A65" s="1258" t="s">
        <v>55</v>
      </c>
      <c r="B65" s="1258" t="s">
        <v>28</v>
      </c>
      <c r="C65" s="1259">
        <v>2</v>
      </c>
      <c r="D65" s="1259">
        <v>33711.247860564101</v>
      </c>
      <c r="E65" s="1259">
        <v>3</v>
      </c>
      <c r="F65" s="1259">
        <v>21361.607965206498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395311.43015912198</v>
      </c>
      <c r="E68" s="1261">
        <v>4</v>
      </c>
      <c r="F68" s="1261">
        <v>267546.89536636299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40588207</v>
      </c>
      <c r="E73" s="446"/>
      <c r="F73" s="327"/>
    </row>
    <row r="74" spans="1:6">
      <c r="A74" s="1258" t="s">
        <v>63</v>
      </c>
      <c r="B74" s="1258" t="s">
        <v>681</v>
      </c>
      <c r="C74" s="1271" t="s">
        <v>682</v>
      </c>
      <c r="D74" s="1259">
        <v>3547871.4821331613</v>
      </c>
      <c r="E74" s="446"/>
      <c r="F74" s="327"/>
    </row>
    <row r="75" spans="1:6">
      <c r="A75" s="1258" t="s">
        <v>64</v>
      </c>
      <c r="B75" s="1258" t="s">
        <v>679</v>
      </c>
      <c r="C75" s="1271" t="s">
        <v>683</v>
      </c>
      <c r="D75" s="1259">
        <v>13738964</v>
      </c>
      <c r="E75" s="446"/>
      <c r="F75" s="327"/>
    </row>
    <row r="76" spans="1:6">
      <c r="A76" s="1258" t="s">
        <v>64</v>
      </c>
      <c r="B76" s="1258" t="s">
        <v>681</v>
      </c>
      <c r="C76" s="1271" t="s">
        <v>684</v>
      </c>
      <c r="D76" s="1259">
        <v>1880067.4821331615</v>
      </c>
      <c r="E76" s="446"/>
      <c r="F76" s="327"/>
    </row>
    <row r="77" spans="1:6">
      <c r="A77" s="1258" t="s">
        <v>65</v>
      </c>
      <c r="B77" s="1258" t="s">
        <v>679</v>
      </c>
      <c r="C77" s="1271" t="s">
        <v>685</v>
      </c>
      <c r="D77" s="1259">
        <v>133812938</v>
      </c>
      <c r="E77" s="446"/>
      <c r="F77" s="327"/>
    </row>
    <row r="78" spans="1:6">
      <c r="A78" s="1253" t="s">
        <v>65</v>
      </c>
      <c r="B78" s="1253" t="s">
        <v>681</v>
      </c>
      <c r="C78" s="1253" t="s">
        <v>686</v>
      </c>
      <c r="D78" s="1261">
        <v>30995199</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302057.03573367698</v>
      </c>
      <c r="C83" s="446"/>
      <c r="D83" s="327"/>
      <c r="E83" s="327"/>
      <c r="F83" s="327"/>
    </row>
    <row r="84" spans="1:6">
      <c r="A84" s="1253" t="s">
        <v>324</v>
      </c>
      <c r="B84" s="1261">
        <v>332635.57438413141</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1762.2781543025294</v>
      </c>
      <c r="C91" s="327"/>
      <c r="D91" s="327"/>
      <c r="E91" s="327"/>
      <c r="F91" s="327"/>
    </row>
    <row r="92" spans="1:6">
      <c r="A92" s="1253" t="s">
        <v>68</v>
      </c>
      <c r="B92" s="1254">
        <v>2722.4602624813979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5156</v>
      </c>
      <c r="C97" s="327"/>
      <c r="D97" s="327"/>
      <c r="E97" s="327"/>
      <c r="F97" s="327"/>
    </row>
    <row r="98" spans="1:6">
      <c r="A98" s="1258" t="s">
        <v>71</v>
      </c>
      <c r="B98" s="1259">
        <v>14</v>
      </c>
      <c r="C98" s="327"/>
      <c r="D98" s="327"/>
      <c r="E98" s="327"/>
      <c r="F98" s="327"/>
    </row>
    <row r="99" spans="1:6">
      <c r="A99" s="1258" t="s">
        <v>72</v>
      </c>
      <c r="B99" s="1259">
        <v>13</v>
      </c>
      <c r="C99" s="327"/>
      <c r="D99" s="327"/>
      <c r="E99" s="327"/>
      <c r="F99" s="327"/>
    </row>
    <row r="100" spans="1:6">
      <c r="A100" s="1258" t="s">
        <v>73</v>
      </c>
      <c r="B100" s="1259">
        <v>969</v>
      </c>
      <c r="C100" s="327"/>
      <c r="D100" s="327"/>
      <c r="E100" s="327"/>
      <c r="F100" s="327"/>
    </row>
    <row r="101" spans="1:6">
      <c r="A101" s="1258" t="s">
        <v>74</v>
      </c>
      <c r="B101" s="1259">
        <v>49</v>
      </c>
      <c r="C101" s="327"/>
      <c r="D101" s="327"/>
      <c r="E101" s="327"/>
      <c r="F101" s="327"/>
    </row>
    <row r="102" spans="1:6">
      <c r="A102" s="1258" t="s">
        <v>75</v>
      </c>
      <c r="B102" s="1259">
        <v>101</v>
      </c>
      <c r="C102" s="327"/>
      <c r="D102" s="327"/>
      <c r="E102" s="327"/>
      <c r="F102" s="327"/>
    </row>
    <row r="103" spans="1:6">
      <c r="A103" s="1258" t="s">
        <v>76</v>
      </c>
      <c r="B103" s="1259">
        <v>138</v>
      </c>
      <c r="C103" s="327"/>
      <c r="D103" s="327"/>
      <c r="E103" s="327"/>
      <c r="F103" s="327"/>
    </row>
    <row r="104" spans="1:6">
      <c r="A104" s="1258" t="s">
        <v>77</v>
      </c>
      <c r="B104" s="1259">
        <v>696</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v>
      </c>
      <c r="C123" s="1259">
        <v>11</v>
      </c>
      <c r="D123" s="327"/>
      <c r="E123" s="327"/>
      <c r="F123" s="327"/>
    </row>
    <row r="124" spans="1:6">
      <c r="A124" s="1258" t="s">
        <v>88</v>
      </c>
      <c r="B124" s="1259">
        <v>1</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55</v>
      </c>
      <c r="C129" s="327"/>
      <c r="D129" s="327"/>
      <c r="E129" s="327"/>
      <c r="F129" s="327"/>
    </row>
    <row r="130" spans="1:6">
      <c r="A130" s="1258" t="s">
        <v>284</v>
      </c>
      <c r="B130" s="1259">
        <v>0</v>
      </c>
      <c r="C130" s="327"/>
      <c r="D130" s="327"/>
      <c r="E130" s="327"/>
      <c r="F130" s="327"/>
    </row>
    <row r="131" spans="1:6">
      <c r="A131" s="1258" t="s">
        <v>285</v>
      </c>
      <c r="B131" s="1259">
        <v>1</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103462.8205320792</v>
      </c>
      <c r="C3" s="43" t="s">
        <v>163</v>
      </c>
      <c r="D3" s="43"/>
      <c r="E3" s="156"/>
      <c r="F3" s="43"/>
      <c r="G3" s="43"/>
      <c r="H3" s="43"/>
      <c r="I3" s="43"/>
      <c r="J3" s="43"/>
      <c r="K3" s="96"/>
    </row>
    <row r="4" spans="1:11">
      <c r="A4" s="353" t="s">
        <v>164</v>
      </c>
      <c r="B4" s="49">
        <f>IF(ISERROR('SEAP template'!B78+'SEAP template'!C78),0,'SEAP template'!B78+'SEAP template'!C78)</f>
        <v>35408.738416783926</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7348.9976470588244</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0.21639608971995181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10498.568067226892</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44177.142857142855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0.23764705882352943</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1279.3991244392901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1279.3991244392901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0.21639608971995181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276.85696771979241</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31627.2160002208</v>
      </c>
      <c r="C5" s="17">
        <f>IF(ISERROR('Eigen informatie GS &amp; warmtenet'!B57),0,'Eigen informatie GS &amp; warmtenet'!B57)</f>
        <v>0</v>
      </c>
      <c r="D5" s="30">
        <f>(SUM(HH_hh_gas_kWh,HH_rest_gas_kWh)/1000)*0.902</f>
        <v>100492.73790953103</v>
      </c>
      <c r="E5" s="17">
        <f>B32*B41</f>
        <v>1023.2876233341269</v>
      </c>
      <c r="F5" s="17">
        <f>B36*B45</f>
        <v>31359.132983044226</v>
      </c>
      <c r="G5" s="18"/>
      <c r="H5" s="17"/>
      <c r="I5" s="17"/>
      <c r="J5" s="17">
        <f>B35*B44+C35*C44</f>
        <v>593.87953719646043</v>
      </c>
      <c r="K5" s="17"/>
      <c r="L5" s="17"/>
      <c r="M5" s="17"/>
      <c r="N5" s="17">
        <f>B34*B43+C34*C43</f>
        <v>11886.230324842227</v>
      </c>
      <c r="O5" s="17">
        <f>B52*B53*B54</f>
        <v>104.74333333333335</v>
      </c>
      <c r="P5" s="17">
        <f>B60*B61*B62/1000-B60*B61*B62/1000/B63</f>
        <v>152.53333333333333</v>
      </c>
    </row>
    <row r="6" spans="1:16">
      <c r="A6" s="16" t="s">
        <v>592</v>
      </c>
      <c r="B6" s="733">
        <f>kWh_PV_kleiner_dan_10kW</f>
        <v>1762.2781543025294</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33389.494154523331</v>
      </c>
      <c r="C8" s="21">
        <f>C5</f>
        <v>0</v>
      </c>
      <c r="D8" s="21">
        <f>D5</f>
        <v>100492.73790953103</v>
      </c>
      <c r="E8" s="21">
        <f>E5</f>
        <v>1023.2876233341269</v>
      </c>
      <c r="F8" s="21">
        <f>F5</f>
        <v>31359.132983044226</v>
      </c>
      <c r="G8" s="21"/>
      <c r="H8" s="21"/>
      <c r="I8" s="21"/>
      <c r="J8" s="21">
        <f>J5</f>
        <v>593.87953719646043</v>
      </c>
      <c r="K8" s="21"/>
      <c r="L8" s="21">
        <f>L5</f>
        <v>0</v>
      </c>
      <c r="M8" s="21">
        <f>M5</f>
        <v>0</v>
      </c>
      <c r="N8" s="21">
        <f>N5</f>
        <v>11886.230324842227</v>
      </c>
      <c r="O8" s="21">
        <f>O5</f>
        <v>104.74333333333335</v>
      </c>
      <c r="P8" s="21">
        <f>P5</f>
        <v>152.53333333333333</v>
      </c>
    </row>
    <row r="9" spans="1:16">
      <c r="B9" s="19"/>
      <c r="C9" s="19"/>
      <c r="D9" s="257"/>
      <c r="E9" s="19"/>
      <c r="F9" s="19"/>
      <c r="G9" s="19"/>
      <c r="H9" s="19"/>
      <c r="I9" s="19"/>
      <c r="J9" s="19"/>
      <c r="K9" s="19"/>
      <c r="L9" s="19"/>
      <c r="M9" s="19"/>
      <c r="N9" s="19"/>
      <c r="O9" s="19"/>
      <c r="P9" s="19"/>
    </row>
    <row r="10" spans="1:16">
      <c r="A10" s="24" t="s">
        <v>207</v>
      </c>
      <c r="B10" s="25">
        <f ca="1">'EF ele_warmte'!B12</f>
        <v>0.21639608971995181</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7225.3559727660368</v>
      </c>
      <c r="C12" s="23">
        <f ca="1">C10*C8</f>
        <v>0</v>
      </c>
      <c r="D12" s="23">
        <f>D8*D10</f>
        <v>20299.533057725268</v>
      </c>
      <c r="E12" s="23">
        <f>E10*E8</f>
        <v>232.28629049684682</v>
      </c>
      <c r="F12" s="23">
        <f>F10*F8</f>
        <v>8372.8885064728092</v>
      </c>
      <c r="G12" s="23"/>
      <c r="H12" s="23"/>
      <c r="I12" s="23"/>
      <c r="J12" s="23">
        <f>J10*J8</f>
        <v>210.23335616754699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8022</v>
      </c>
      <c r="C26" s="36"/>
      <c r="D26" s="227"/>
    </row>
    <row r="27" spans="1:5" s="15" customFormat="1">
      <c r="A27" s="229" t="s">
        <v>697</v>
      </c>
      <c r="B27" s="37">
        <f>SUM(HH_hh_gas_aantal,HH_rest_gas_aantal)</f>
        <v>6560</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6232</v>
      </c>
      <c r="C31" s="34" t="s">
        <v>104</v>
      </c>
      <c r="D31" s="173"/>
    </row>
    <row r="32" spans="1:5">
      <c r="A32" s="170" t="s">
        <v>72</v>
      </c>
      <c r="B32" s="33">
        <f>IF((B21*($B$26-($B$27-0.05*$B$27)-$B$60))&lt;0,0,B21*($B$26-($B$27-0.05*$B$27)-$B$60))</f>
        <v>44.624063584873689</v>
      </c>
      <c r="C32" s="34" t="s">
        <v>104</v>
      </c>
      <c r="D32" s="173"/>
    </row>
    <row r="33" spans="1:6">
      <c r="A33" s="170" t="s">
        <v>73</v>
      </c>
      <c r="B33" s="33">
        <f>IF((B22*($B$26-($B$27-0.05*$B$27)-$B$60))&lt;0,0,B22*($B$26-($B$27-0.05*$B$27)-$B$60))</f>
        <v>300.37228479089828</v>
      </c>
      <c r="C33" s="34" t="s">
        <v>104</v>
      </c>
      <c r="D33" s="173"/>
    </row>
    <row r="34" spans="1:6">
      <c r="A34" s="170" t="s">
        <v>74</v>
      </c>
      <c r="B34" s="33">
        <f>IF((B24*($B$26-($B$27-0.05*$B$27)-$B$60))&lt;0,0,B24*($B$26-($B$27-0.05*$B$27)-$B$60))</f>
        <v>76.208520052941253</v>
      </c>
      <c r="C34" s="33">
        <f>B26*C24</f>
        <v>1640.9808625180642</v>
      </c>
      <c r="D34" s="232"/>
    </row>
    <row r="35" spans="1:6">
      <c r="A35" s="170" t="s">
        <v>76</v>
      </c>
      <c r="B35" s="33">
        <f>IF((B19*($B$26-($B$27-0.05*$B$27)-$B$60))&lt;0,0,B19*($B$26-($B$27-0.05*$B$27)-$B$60))</f>
        <v>28.321589326654916</v>
      </c>
      <c r="C35" s="33">
        <f>B35/2</f>
        <v>14.160794663327458</v>
      </c>
      <c r="D35" s="232"/>
    </row>
    <row r="36" spans="1:6">
      <c r="A36" s="170" t="s">
        <v>77</v>
      </c>
      <c r="B36" s="33">
        <f>IF((B18*($B$26-($B$27-0.05*$B$27)-$B$60))&lt;0,0,B18*($B$26-($B$27-0.05*$B$27)-$B$60))</f>
        <v>1332.473542244632</v>
      </c>
      <c r="C36" s="34" t="s">
        <v>104</v>
      </c>
      <c r="D36" s="173"/>
    </row>
    <row r="37" spans="1:6">
      <c r="A37" s="170" t="s">
        <v>78</v>
      </c>
      <c r="B37" s="33">
        <f>B60</f>
        <v>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67</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24400.004236894481</v>
      </c>
      <c r="C5" s="17">
        <f>IF(ISERROR('Eigen informatie GS &amp; warmtenet'!B58),0,'Eigen informatie GS &amp; warmtenet'!B58)</f>
        <v>0</v>
      </c>
      <c r="D5" s="30">
        <f>SUM(D6:D12)</f>
        <v>26923.760896197164</v>
      </c>
      <c r="E5" s="17">
        <f>SUM(E6:E12)</f>
        <v>143.8651805984515</v>
      </c>
      <c r="F5" s="17">
        <f>SUM(F6:F12)</f>
        <v>2982.3656288859438</v>
      </c>
      <c r="G5" s="18"/>
      <c r="H5" s="17"/>
      <c r="I5" s="17"/>
      <c r="J5" s="17">
        <f>SUM(J6:J12)</f>
        <v>21.07188162586365</v>
      </c>
      <c r="K5" s="17"/>
      <c r="L5" s="17"/>
      <c r="M5" s="17"/>
      <c r="N5" s="17">
        <f>SUM(N6:N12)</f>
        <v>1983.2622255464375</v>
      </c>
      <c r="O5" s="17">
        <f>B38*B39*B40</f>
        <v>0</v>
      </c>
      <c r="P5" s="17">
        <f>B46*B47*B48/1000-B46*B47*B48/1000/B49</f>
        <v>19.066666666666666</v>
      </c>
      <c r="R5" s="32"/>
    </row>
    <row r="6" spans="1:18">
      <c r="A6" s="32" t="s">
        <v>53</v>
      </c>
      <c r="B6" s="37">
        <f>B26</f>
        <v>7322.03549550761</v>
      </c>
      <c r="C6" s="33"/>
      <c r="D6" s="37">
        <f>IF(ISERROR(TER_kantoor_gas_kWh/1000),0,TER_kantoor_gas_kWh/1000)*0.902</f>
        <v>8956.1917895385177</v>
      </c>
      <c r="E6" s="33">
        <f>$C$26*'E Balans VL '!I12/100/3.6*1000000</f>
        <v>61.804365794574579</v>
      </c>
      <c r="F6" s="33">
        <f>$C$26*('E Balans VL '!L12+'E Balans VL '!N12)/100/3.6*1000000</f>
        <v>981.80388974318328</v>
      </c>
      <c r="G6" s="34"/>
      <c r="H6" s="33"/>
      <c r="I6" s="33"/>
      <c r="J6" s="33">
        <f>$C$26*('E Balans VL '!D12+'E Balans VL '!E12)/100/3.6*1000000</f>
        <v>0</v>
      </c>
      <c r="K6" s="33"/>
      <c r="L6" s="33"/>
      <c r="M6" s="33"/>
      <c r="N6" s="33">
        <f>$C$26*'E Balans VL '!Y12/100/3.6*1000000</f>
        <v>64.395037621339739</v>
      </c>
      <c r="O6" s="33"/>
      <c r="P6" s="33"/>
      <c r="R6" s="32"/>
    </row>
    <row r="7" spans="1:18">
      <c r="A7" s="32" t="s">
        <v>52</v>
      </c>
      <c r="B7" s="37">
        <f t="shared" ref="B7:B12" si="0">B27</f>
        <v>1368.8131920930698</v>
      </c>
      <c r="C7" s="33"/>
      <c r="D7" s="37">
        <f>IF(ISERROR(TER_horeca_gas_kWh/1000),0,TER_horeca_gas_kWh/1000)*0.902</f>
        <v>1875.2289611769668</v>
      </c>
      <c r="E7" s="33">
        <f>$C$27*'E Balans VL '!I9/100/3.6*1000000</f>
        <v>17.997160741705994</v>
      </c>
      <c r="F7" s="33">
        <f>$C$27*('E Balans VL '!L9+'E Balans VL '!N9)/100/3.6*1000000</f>
        <v>343.7601145898995</v>
      </c>
      <c r="G7" s="34"/>
      <c r="H7" s="33"/>
      <c r="I7" s="33"/>
      <c r="J7" s="33">
        <f>$C$27*('E Balans VL '!D9+'E Balans VL '!E9)/100/3.6*1000000</f>
        <v>0</v>
      </c>
      <c r="K7" s="33"/>
      <c r="L7" s="33"/>
      <c r="M7" s="33"/>
      <c r="N7" s="33">
        <f>$C$27*'E Balans VL '!Y9/100/3.6*1000000</f>
        <v>0.37264258953433105</v>
      </c>
      <c r="O7" s="33"/>
      <c r="P7" s="33"/>
      <c r="R7" s="32"/>
    </row>
    <row r="8" spans="1:18">
      <c r="A8" s="6" t="s">
        <v>51</v>
      </c>
      <c r="B8" s="37">
        <f t="shared" si="0"/>
        <v>8647.6900139459503</v>
      </c>
      <c r="C8" s="33"/>
      <c r="D8" s="37">
        <f>IF(ISERROR(TER_handel_gas_kWh/1000),0,TER_handel_gas_kWh/1000)*0.902</f>
        <v>5447.6817097437461</v>
      </c>
      <c r="E8" s="33">
        <f>$C$28*'E Balans VL '!I13/100/3.6*1000000</f>
        <v>37.871415788531564</v>
      </c>
      <c r="F8" s="33">
        <f>$C$28*('E Balans VL '!L13+'E Balans VL '!N13)/100/3.6*1000000</f>
        <v>581.25121321230017</v>
      </c>
      <c r="G8" s="34"/>
      <c r="H8" s="33"/>
      <c r="I8" s="33"/>
      <c r="J8" s="33">
        <f>$C$28*('E Balans VL '!D13+'E Balans VL '!E13)/100/3.6*1000000</f>
        <v>0</v>
      </c>
      <c r="K8" s="33"/>
      <c r="L8" s="33"/>
      <c r="M8" s="33"/>
      <c r="N8" s="33">
        <f>$C$28*'E Balans VL '!Y13/100/3.6*1000000</f>
        <v>25.547483869234412</v>
      </c>
      <c r="O8" s="33"/>
      <c r="P8" s="33"/>
      <c r="R8" s="32"/>
    </row>
    <row r="9" spans="1:18">
      <c r="A9" s="32" t="s">
        <v>50</v>
      </c>
      <c r="B9" s="37">
        <f t="shared" si="0"/>
        <v>211.87969689128801</v>
      </c>
      <c r="C9" s="33"/>
      <c r="D9" s="37">
        <f>IF(ISERROR(TER_gezond_gas_kWh/1000),0,TER_gezond_gas_kWh/1000)*0.902</f>
        <v>283.71462604460874</v>
      </c>
      <c r="E9" s="33">
        <f>$C$29*'E Balans VL '!I10/100/3.6*1000000</f>
        <v>7.286636321714518E-2</v>
      </c>
      <c r="F9" s="33">
        <f>$C$29*('E Balans VL '!L10+'E Balans VL '!N10)/100/3.6*1000000</f>
        <v>18.519120060753885</v>
      </c>
      <c r="G9" s="34"/>
      <c r="H9" s="33"/>
      <c r="I9" s="33"/>
      <c r="J9" s="33">
        <f>$C$29*('E Balans VL '!D10+'E Balans VL '!E10)/100/3.6*1000000</f>
        <v>8.7889515322468323</v>
      </c>
      <c r="K9" s="33"/>
      <c r="L9" s="33"/>
      <c r="M9" s="33"/>
      <c r="N9" s="33">
        <f>$C$29*'E Balans VL '!Y10/100/3.6*1000000</f>
        <v>2.2214803244211887</v>
      </c>
      <c r="O9" s="33"/>
      <c r="P9" s="33"/>
      <c r="R9" s="32"/>
    </row>
    <row r="10" spans="1:18">
      <c r="A10" s="32" t="s">
        <v>49</v>
      </c>
      <c r="B10" s="37">
        <f t="shared" si="0"/>
        <v>2694.1595033902599</v>
      </c>
      <c r="C10" s="33"/>
      <c r="D10" s="37">
        <f>IF(ISERROR(TER_ander_gas_kWh/1000),0,TER_ander_gas_kWh/1000)*0.902</f>
        <v>2098.4847763603948</v>
      </c>
      <c r="E10" s="33">
        <f>$C$30*'E Balans VL '!I14/100/3.6*1000000</f>
        <v>1.6023149608098641</v>
      </c>
      <c r="F10" s="33">
        <f>$C$30*('E Balans VL '!L14+'E Balans VL '!N14)/100/3.6*1000000</f>
        <v>477.00939695249531</v>
      </c>
      <c r="G10" s="34"/>
      <c r="H10" s="33"/>
      <c r="I10" s="33"/>
      <c r="J10" s="33">
        <f>$C$30*('E Balans VL '!D14+'E Balans VL '!E14)/100/3.6*1000000</f>
        <v>0</v>
      </c>
      <c r="K10" s="33"/>
      <c r="L10" s="33"/>
      <c r="M10" s="33"/>
      <c r="N10" s="33">
        <f>$C$30*'E Balans VL '!Y14/100/3.6*1000000</f>
        <v>1599.7000674832677</v>
      </c>
      <c r="O10" s="33"/>
      <c r="P10" s="33"/>
      <c r="R10" s="32"/>
    </row>
    <row r="11" spans="1:18">
      <c r="A11" s="32" t="s">
        <v>54</v>
      </c>
      <c r="B11" s="37">
        <f t="shared" si="0"/>
        <v>121.949877031056</v>
      </c>
      <c r="C11" s="33"/>
      <c r="D11" s="37">
        <f>IF(ISERROR(TER_onderwijs_gas_kWh/1000),0,TER_onderwijs_gas_kWh/1000)*0.902</f>
        <v>867.4994620052812</v>
      </c>
      <c r="E11" s="33">
        <f>$C$31*'E Balans VL '!I11/100/3.6*1000000</f>
        <v>8.1115085476355597E-2</v>
      </c>
      <c r="F11" s="33">
        <f>$C$31*('E Balans VL '!L11+'E Balans VL '!N11)/100/3.6*1000000</f>
        <v>39.07036443015997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4033.4764580352503</v>
      </c>
      <c r="C12" s="33"/>
      <c r="D12" s="37">
        <f>IF(ISERROR(TER_rest_gas_kWh/1000),0,TER_rest_gas_kWh/1000)*0.902</f>
        <v>7394.9595713276476</v>
      </c>
      <c r="E12" s="33">
        <f>$C$32*'E Balans VL '!I8/100/3.6*1000000</f>
        <v>24.435941864136002</v>
      </c>
      <c r="F12" s="33">
        <f>$C$32*('E Balans VL '!L8+'E Balans VL '!N8)/100/3.6*1000000</f>
        <v>540.95152989715211</v>
      </c>
      <c r="G12" s="34"/>
      <c r="H12" s="33"/>
      <c r="I12" s="33"/>
      <c r="J12" s="33">
        <f>$C$32*('E Balans VL '!D8+'E Balans VL '!E8)/100/3.6*1000000</f>
        <v>12.282930093616818</v>
      </c>
      <c r="K12" s="33"/>
      <c r="L12" s="33"/>
      <c r="M12" s="33"/>
      <c r="N12" s="33">
        <f>$C$32*'E Balans VL '!Y8/100/3.6*1000000</f>
        <v>291.02551365864019</v>
      </c>
      <c r="O12" s="33"/>
      <c r="P12" s="33"/>
      <c r="R12" s="32"/>
    </row>
    <row r="13" spans="1:18">
      <c r="A13" s="16" t="s">
        <v>483</v>
      </c>
      <c r="B13" s="245">
        <f ca="1">'lokale energieproductie'!N40+'lokale energieproductie'!N33</f>
        <v>22.5</v>
      </c>
      <c r="C13" s="245">
        <f ca="1">'lokale energieproductie'!O40+'lokale energieproductie'!O33</f>
        <v>32.142857142857146</v>
      </c>
      <c r="D13" s="305">
        <f ca="1">('lokale energieproductie'!P33+'lokale energieproductie'!P40)*(-1)</f>
        <v>-64.285714285714292</v>
      </c>
      <c r="E13" s="246"/>
      <c r="F13" s="305">
        <f ca="1">('lokale energieproductie'!S33+'lokale energieproductie'!S40)*(-1)</f>
        <v>0</v>
      </c>
      <c r="G13" s="247"/>
      <c r="H13" s="246"/>
      <c r="I13" s="246"/>
      <c r="J13" s="246"/>
      <c r="K13" s="246"/>
      <c r="L13" s="305">
        <f ca="1">('lokale energieproductie'!U33+'lokale energieproductie'!T33+'lokale energieproductie'!U40+'lokale energieproductie'!T40)*(-1)</f>
        <v>0</v>
      </c>
      <c r="M13" s="246"/>
      <c r="N13" s="305">
        <f ca="1">('lokale energieproductie'!Q33+'lokale energieproductie'!R33+'lokale energieproductie'!V33+'lokale energieproductie'!Q40+'lokale energieproductie'!R40+'lokale energieproductie'!V40)*(-1)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24422.504236894481</v>
      </c>
      <c r="C16" s="21">
        <f t="shared" ca="1" si="1"/>
        <v>32.142857142857146</v>
      </c>
      <c r="D16" s="21">
        <f t="shared" ca="1" si="1"/>
        <v>26859.47518191145</v>
      </c>
      <c r="E16" s="21">
        <f t="shared" si="1"/>
        <v>143.8651805984515</v>
      </c>
      <c r="F16" s="21">
        <f t="shared" ca="1" si="1"/>
        <v>2982.3656288859438</v>
      </c>
      <c r="G16" s="21">
        <f t="shared" si="1"/>
        <v>0</v>
      </c>
      <c r="H16" s="21">
        <f t="shared" si="1"/>
        <v>0</v>
      </c>
      <c r="I16" s="21">
        <f t="shared" si="1"/>
        <v>0</v>
      </c>
      <c r="J16" s="21">
        <f t="shared" si="1"/>
        <v>21.07188162586365</v>
      </c>
      <c r="K16" s="21">
        <f t="shared" si="1"/>
        <v>0</v>
      </c>
      <c r="L16" s="21">
        <f t="shared" ca="1" si="1"/>
        <v>0</v>
      </c>
      <c r="M16" s="21">
        <f t="shared" si="1"/>
        <v>0</v>
      </c>
      <c r="N16" s="21">
        <f t="shared" ca="1" si="1"/>
        <v>1983.2622255464375</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0.21639608971995181</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5284.9344180329217</v>
      </c>
      <c r="C20" s="23">
        <f t="shared" ref="C20:P20" ca="1" si="2">C16*C18</f>
        <v>7.6386554621848752</v>
      </c>
      <c r="D20" s="23">
        <f t="shared" ca="1" si="2"/>
        <v>5425.6139867461134</v>
      </c>
      <c r="E20" s="23">
        <f t="shared" si="2"/>
        <v>32.657395995848489</v>
      </c>
      <c r="F20" s="23">
        <f t="shared" ca="1" si="2"/>
        <v>796.29162291254704</v>
      </c>
      <c r="G20" s="23">
        <f t="shared" si="2"/>
        <v>0</v>
      </c>
      <c r="H20" s="23">
        <f t="shared" si="2"/>
        <v>0</v>
      </c>
      <c r="I20" s="23">
        <f t="shared" si="2"/>
        <v>0</v>
      </c>
      <c r="J20" s="23">
        <f t="shared" si="2"/>
        <v>7.459446095555732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7322.03549550761</v>
      </c>
      <c r="C26" s="39">
        <f>IF(ISERROR(B26*3.6/1000000/'E Balans VL '!Z12*100),0,B26*3.6/1000000/'E Balans VL '!Z12*100)</f>
        <v>0.15346077398009889</v>
      </c>
      <c r="D26" s="235" t="s">
        <v>647</v>
      </c>
      <c r="F26" s="6"/>
    </row>
    <row r="27" spans="1:18">
      <c r="A27" s="230" t="s">
        <v>52</v>
      </c>
      <c r="B27" s="33">
        <f>IF(ISERROR(TER_horeca_ele_kWh/1000),0,TER_horeca_ele_kWh/1000)</f>
        <v>1368.8131920930698</v>
      </c>
      <c r="C27" s="39">
        <f>IF(ISERROR(B27*3.6/1000000/'E Balans VL '!Z9*100),0,B27*3.6/1000000/'E Balans VL '!Z9*100)</f>
        <v>0.10494667190531971</v>
      </c>
      <c r="D27" s="235" t="s">
        <v>647</v>
      </c>
      <c r="F27" s="6"/>
    </row>
    <row r="28" spans="1:18">
      <c r="A28" s="170" t="s">
        <v>51</v>
      </c>
      <c r="B28" s="33">
        <f>IF(ISERROR(TER_handel_ele_kWh/1000),0,TER_handel_ele_kWh/1000)</f>
        <v>8647.6900139459503</v>
      </c>
      <c r="C28" s="39">
        <f>IF(ISERROR(B28*3.6/1000000/'E Balans VL '!Z13*100),0,B28*3.6/1000000/'E Balans VL '!Z13*100)</f>
        <v>0.24396409253583598</v>
      </c>
      <c r="D28" s="235" t="s">
        <v>647</v>
      </c>
      <c r="F28" s="6"/>
    </row>
    <row r="29" spans="1:18">
      <c r="A29" s="230" t="s">
        <v>50</v>
      </c>
      <c r="B29" s="33">
        <f>IF(ISERROR(TER_gezond_ele_kWh/1000),0,TER_gezond_ele_kWh/1000)</f>
        <v>211.87969689128801</v>
      </c>
      <c r="C29" s="39">
        <f>IF(ISERROR(B29*3.6/1000000/'E Balans VL '!Z10*100),0,B29*3.6/1000000/'E Balans VL '!Z10*100)</f>
        <v>2.3526605185697207E-2</v>
      </c>
      <c r="D29" s="235" t="s">
        <v>647</v>
      </c>
      <c r="F29" s="6"/>
    </row>
    <row r="30" spans="1:18">
      <c r="A30" s="230" t="s">
        <v>49</v>
      </c>
      <c r="B30" s="33">
        <f>IF(ISERROR(TER_ander_ele_kWh/1000),0,TER_ander_ele_kWh/1000)</f>
        <v>2694.1595033902599</v>
      </c>
      <c r="C30" s="39">
        <f>IF(ISERROR(B30*3.6/1000000/'E Balans VL '!Z14*100),0,B30*3.6/1000000/'E Balans VL '!Z14*100)</f>
        <v>0.19439823647779164</v>
      </c>
      <c r="D30" s="235" t="s">
        <v>647</v>
      </c>
      <c r="F30" s="6"/>
    </row>
    <row r="31" spans="1:18">
      <c r="A31" s="230" t="s">
        <v>54</v>
      </c>
      <c r="B31" s="33">
        <f>IF(ISERROR(TER_onderwijs_ele_kWh/1000),0,TER_onderwijs_ele_kWh/1000)</f>
        <v>121.949877031056</v>
      </c>
      <c r="C31" s="39">
        <f>IF(ISERROR(B31*3.6/1000000/'E Balans VL '!Z11*100),0,B31*3.6/1000000/'E Balans VL '!Z11*100)</f>
        <v>3.3803539935336878E-2</v>
      </c>
      <c r="D31" s="235" t="s">
        <v>647</v>
      </c>
    </row>
    <row r="32" spans="1:18">
      <c r="A32" s="230" t="s">
        <v>249</v>
      </c>
      <c r="B32" s="33">
        <f>IF(ISERROR(TER_rest_ele_kWh/1000),0,TER_rest_ele_kWh/1000)</f>
        <v>4033.4764580352503</v>
      </c>
      <c r="C32" s="39">
        <f>IF(ISERROR(B32*3.6/1000000/'E Balans VL '!Z8*100),0,B32*3.6/1000000/'E Balans VL '!Z8*100)</f>
        <v>3.2879422053447953E-2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39904.704023328908</v>
      </c>
      <c r="C5" s="17">
        <f>IF(ISERROR('Eigen informatie GS &amp; warmtenet'!B59),0,'Eigen informatie GS &amp; warmtenet'!B59)</f>
        <v>0</v>
      </c>
      <c r="D5" s="30">
        <f>SUM(D6:D15)</f>
        <v>12665.454510988842</v>
      </c>
      <c r="E5" s="17">
        <f>SUM(E6:E15)</f>
        <v>2710.8167818097781</v>
      </c>
      <c r="F5" s="17">
        <f>SUM(F6:F15)</f>
        <v>10383.761031934657</v>
      </c>
      <c r="G5" s="18"/>
      <c r="H5" s="17"/>
      <c r="I5" s="17"/>
      <c r="J5" s="17">
        <f>SUM(J6:J15)</f>
        <v>82.406092278459411</v>
      </c>
      <c r="K5" s="17"/>
      <c r="L5" s="17"/>
      <c r="M5" s="17"/>
      <c r="N5" s="17">
        <f>SUM(N6:N15)</f>
        <v>1927.1587674925063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1452.1620363197399</v>
      </c>
      <c r="C8" s="33"/>
      <c r="D8" s="37">
        <f>IF( ISERROR(IND_metaal_Gas_kWH/1000),0,IND_metaal_Gas_kWH/1000)*0.902</f>
        <v>0</v>
      </c>
      <c r="E8" s="33">
        <f>C30*'E Balans VL '!I18/100/3.6*1000000</f>
        <v>41.711544430697423</v>
      </c>
      <c r="F8" s="33">
        <f>C30*'E Balans VL '!L18/100/3.6*1000000+C30*'E Balans VL '!N18/100/3.6*1000000</f>
        <v>372.45163322632953</v>
      </c>
      <c r="G8" s="34"/>
      <c r="H8" s="33"/>
      <c r="I8" s="33"/>
      <c r="J8" s="40">
        <f>C30*'E Balans VL '!D18/100/3.6*1000000+C30*'E Balans VL '!E18/100/3.6*1000000</f>
        <v>0</v>
      </c>
      <c r="K8" s="33"/>
      <c r="L8" s="33"/>
      <c r="M8" s="33"/>
      <c r="N8" s="33">
        <f>C30*'E Balans VL '!Y18/100/3.6*1000000</f>
        <v>39.429163568769887</v>
      </c>
      <c r="O8" s="33"/>
      <c r="P8" s="33"/>
      <c r="R8" s="32"/>
    </row>
    <row r="9" spans="1:18">
      <c r="A9" s="6" t="s">
        <v>32</v>
      </c>
      <c r="B9" s="37">
        <f t="shared" si="0"/>
        <v>3135.6628726222398</v>
      </c>
      <c r="C9" s="33"/>
      <c r="D9" s="37">
        <f>IF( ISERROR(IND_andere_gas_kWh/1000),0,IND_andere_gas_kWh/1000)*0.902</f>
        <v>3188.4002904001077</v>
      </c>
      <c r="E9" s="33">
        <f>C31*'E Balans VL '!I19/100/3.6*1000000</f>
        <v>848.74684294896701</v>
      </c>
      <c r="F9" s="33">
        <f>C31*'E Balans VL '!L19/100/3.6*1000000+C31*'E Balans VL '!N19/100/3.6*1000000</f>
        <v>2088.6832956128096</v>
      </c>
      <c r="G9" s="34"/>
      <c r="H9" s="33"/>
      <c r="I9" s="33"/>
      <c r="J9" s="40">
        <f>C31*'E Balans VL '!D19/100/3.6*1000000+C31*'E Balans VL '!E19/100/3.6*1000000</f>
        <v>0</v>
      </c>
      <c r="K9" s="33"/>
      <c r="L9" s="33"/>
      <c r="M9" s="33"/>
      <c r="N9" s="33">
        <f>C31*'E Balans VL '!Y19/100/3.6*1000000</f>
        <v>265.09952448564326</v>
      </c>
      <c r="O9" s="33"/>
      <c r="P9" s="33"/>
      <c r="R9" s="32"/>
    </row>
    <row r="10" spans="1:18">
      <c r="A10" s="6" t="s">
        <v>40</v>
      </c>
      <c r="B10" s="37">
        <f t="shared" si="0"/>
        <v>210.03688862338998</v>
      </c>
      <c r="C10" s="33"/>
      <c r="D10" s="37">
        <f>IF( ISERROR(IND_voed_gas_kWh/1000),0,IND_voed_gas_kWh/1000)*0.902</f>
        <v>472.43183234407121</v>
      </c>
      <c r="E10" s="33">
        <f>C32*'E Balans VL '!I20/100/3.6*1000000</f>
        <v>17.13109118331877</v>
      </c>
      <c r="F10" s="33">
        <f>C32*'E Balans VL '!L20/100/3.6*1000000+C32*'E Balans VL '!N20/100/3.6*1000000</f>
        <v>313.18405715374064</v>
      </c>
      <c r="G10" s="34"/>
      <c r="H10" s="33"/>
      <c r="I10" s="33"/>
      <c r="J10" s="40">
        <f>C32*'E Balans VL '!D20/100/3.6*1000000+C32*'E Balans VL '!E20/100/3.6*1000000</f>
        <v>2.7785330859064375E-3</v>
      </c>
      <c r="K10" s="33"/>
      <c r="L10" s="33"/>
      <c r="M10" s="33"/>
      <c r="N10" s="33">
        <f>C32*'E Balans VL '!Y20/100/3.6*1000000</f>
        <v>61.701426474908146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40.905415000889697</v>
      </c>
      <c r="C12" s="33"/>
      <c r="D12" s="37">
        <f>IF( ISERROR(IND_min_gas_kWh/1000),0,IND_min_gas_kWh/1000)*0.902</f>
        <v>0</v>
      </c>
      <c r="E12" s="33">
        <f>C34*'E Balans VL '!I22/100/3.6*1000000</f>
        <v>0.31864426994638489</v>
      </c>
      <c r="F12" s="33">
        <f>C34*'E Balans VL '!L22/100/3.6*1000000+C34*'E Balans VL '!N22/100/3.6*1000000</f>
        <v>15.427008823809308</v>
      </c>
      <c r="G12" s="34"/>
      <c r="H12" s="33"/>
      <c r="I12" s="33"/>
      <c r="J12" s="40">
        <f>C34*'E Balans VL '!D22/100/3.6*1000000+C34*'E Balans VL '!E22/100/3.6*1000000</f>
        <v>0.22497620602471186</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3003.3846272402498</v>
      </c>
      <c r="C14" s="33"/>
      <c r="D14" s="37">
        <f>IF( ISERROR(IND_chemie_gas_kWh/1000),0,IND_chemie_gas_kWh/1000)*0.902</f>
        <v>0</v>
      </c>
      <c r="E14" s="33">
        <f>C36*'E Balans VL '!I24/100/3.6*1000000</f>
        <v>14.197704418462815</v>
      </c>
      <c r="F14" s="33">
        <f>C36*'E Balans VL '!L24/100/3.6*1000000+C36*'E Balans VL '!N24/100/3.6*1000000</f>
        <v>56.762357354941621</v>
      </c>
      <c r="G14" s="34"/>
      <c r="H14" s="33"/>
      <c r="I14" s="33"/>
      <c r="J14" s="40">
        <f>C36*'E Balans VL '!D24/100/3.6*1000000+C36*'E Balans VL '!E24/100/3.6*1000000</f>
        <v>0</v>
      </c>
      <c r="K14" s="33"/>
      <c r="L14" s="33"/>
      <c r="M14" s="33"/>
      <c r="N14" s="33">
        <f>C36*'E Balans VL '!Y24/100/3.6*1000000</f>
        <v>72.912018205626211</v>
      </c>
      <c r="O14" s="33"/>
      <c r="P14" s="33"/>
      <c r="R14" s="32"/>
    </row>
    <row r="15" spans="1:18">
      <c r="A15" s="6" t="s">
        <v>259</v>
      </c>
      <c r="B15" s="37">
        <f t="shared" si="0"/>
        <v>32062.552183522399</v>
      </c>
      <c r="C15" s="33"/>
      <c r="D15" s="37">
        <f>IF( ISERROR(IND_rest_gas_kWh/1000),0,IND_rest_gas_kWh/1000)*0.902</f>
        <v>9004.6223882446629</v>
      </c>
      <c r="E15" s="33">
        <f>C37*'E Balans VL '!I15/100/3.6*1000000</f>
        <v>1788.7109545583855</v>
      </c>
      <c r="F15" s="33">
        <f>C37*'E Balans VL '!L15/100/3.6*1000000+C37*'E Balans VL '!N15/100/3.6*1000000</f>
        <v>7537.2526797630262</v>
      </c>
      <c r="G15" s="34"/>
      <c r="H15" s="33"/>
      <c r="I15" s="33"/>
      <c r="J15" s="40">
        <f>C37*'E Balans VL '!D15/100/3.6*1000000+C37*'E Balans VL '!E15/100/3.6*1000000</f>
        <v>82.178337539348789</v>
      </c>
      <c r="K15" s="33"/>
      <c r="L15" s="33"/>
      <c r="M15" s="33"/>
      <c r="N15" s="33">
        <f>C37*'E Balans VL '!Y15/100/3.6*1000000</f>
        <v>1488.0166347575589</v>
      </c>
      <c r="O15" s="33"/>
      <c r="P15" s="33"/>
      <c r="R15" s="32"/>
    </row>
    <row r="16" spans="1:18">
      <c r="A16" s="16" t="s">
        <v>483</v>
      </c>
      <c r="B16" s="245">
        <f>'lokale energieproductie'!N39+'lokale energieproductie'!N32</f>
        <v>0</v>
      </c>
      <c r="C16" s="245">
        <f>'lokale energieproductie'!O39+'lokale energieproductie'!O32</f>
        <v>0</v>
      </c>
      <c r="D16" s="305">
        <f>('lokale energieproductie'!P32+'lokale energieproductie'!P39)*(-1)</f>
        <v>0</v>
      </c>
      <c r="E16" s="246"/>
      <c r="F16" s="305">
        <f>('lokale energieproductie'!S32+'lokale energieproductie'!S39)*(-1)</f>
        <v>0</v>
      </c>
      <c r="G16" s="247"/>
      <c r="H16" s="246"/>
      <c r="I16" s="246"/>
      <c r="J16" s="246"/>
      <c r="K16" s="246"/>
      <c r="L16" s="305">
        <f>('lokale energieproductie'!T32+'lokale energieproductie'!U32+'lokale energieproductie'!T39+'lokale energieproductie'!U39)*(-1)</f>
        <v>0</v>
      </c>
      <c r="M16" s="246"/>
      <c r="N16" s="305">
        <f>('lokale energieproductie'!Q32+'lokale energieproductie'!R32+'lokale energieproductie'!V32+'lokale energieproductie'!Q39+'lokale energieproductie'!R39+'lokale energieproductie'!V39)*(-1)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39904.704023328908</v>
      </c>
      <c r="C18" s="21">
        <f>C5+C16</f>
        <v>0</v>
      </c>
      <c r="D18" s="21">
        <f>MAX((D5+D16),0)</f>
        <v>12665.454510988842</v>
      </c>
      <c r="E18" s="21">
        <f>MAX((E5+E16),0)</f>
        <v>2710.8167818097781</v>
      </c>
      <c r="F18" s="21">
        <f>MAX((F5+F16),0)</f>
        <v>10383.761031934657</v>
      </c>
      <c r="G18" s="21"/>
      <c r="H18" s="21"/>
      <c r="I18" s="21"/>
      <c r="J18" s="21">
        <f>MAX((J5+J16),0)</f>
        <v>82.406092278459411</v>
      </c>
      <c r="K18" s="21"/>
      <c r="L18" s="21">
        <f>MAX((L5+L16),0)</f>
        <v>0</v>
      </c>
      <c r="M18" s="21"/>
      <c r="N18" s="21">
        <f>MAX((N5+N16),0)</f>
        <v>1927.1587674925063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0.21639608971995181</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8635.2219120804039</v>
      </c>
      <c r="C22" s="23">
        <f ca="1">C18*C20</f>
        <v>0</v>
      </c>
      <c r="D22" s="23">
        <f>D18*D20</f>
        <v>2558.4218112197464</v>
      </c>
      <c r="E22" s="23">
        <f>E18*E20</f>
        <v>615.35540947081961</v>
      </c>
      <c r="F22" s="23">
        <f>F18*F20</f>
        <v>2772.4641955265533</v>
      </c>
      <c r="G22" s="23"/>
      <c r="H22" s="23"/>
      <c r="I22" s="23"/>
      <c r="J22" s="23">
        <f>J18*J20</f>
        <v>29.17175666657463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1452.1620363197399</v>
      </c>
      <c r="C30" s="39">
        <f>IF(ISERROR(B30*3.6/1000000/'E Balans VL '!Z18*100),0,B30*3.6/1000000/'E Balans VL '!Z18*100)</f>
        <v>0.14288903739906939</v>
      </c>
      <c r="D30" s="235" t="s">
        <v>647</v>
      </c>
    </row>
    <row r="31" spans="1:18">
      <c r="A31" s="6" t="s">
        <v>32</v>
      </c>
      <c r="B31" s="37">
        <f>IF( ISERROR(IND_ander_ele_kWh/1000),0,IND_ander_ele_kWh/1000)</f>
        <v>3135.6628726222398</v>
      </c>
      <c r="C31" s="39">
        <f>IF(ISERROR(B31*3.6/1000000/'E Balans VL '!Z19*100),0,B31*3.6/1000000/'E Balans VL '!Z19*100)</f>
        <v>0.13655561680906445</v>
      </c>
      <c r="D31" s="235" t="s">
        <v>647</v>
      </c>
    </row>
    <row r="32" spans="1:18">
      <c r="A32" s="170" t="s">
        <v>40</v>
      </c>
      <c r="B32" s="37">
        <f>IF( ISERROR(IND_voed_ele_kWh/1000),0,IND_voed_ele_kWh/1000)</f>
        <v>210.03688862338998</v>
      </c>
      <c r="C32" s="39">
        <f>IF(ISERROR(B32*3.6/1000000/'E Balans VL '!Z20*100),0,B32*3.6/1000000/'E Balans VL '!Z20*100)</f>
        <v>3.9851470554831792E-2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40.905415000889697</v>
      </c>
      <c r="C34" s="39">
        <f>IF(ISERROR(B34*3.6/1000000/'E Balans VL '!Z22*100),0,B34*3.6/1000000/'E Balans VL '!Z22*100)</f>
        <v>5.7517121084993119E-3</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3003.3846272402498</v>
      </c>
      <c r="C36" s="39">
        <f>IF(ISERROR(B36*3.6/1000000/'E Balans VL '!Z24*100),0,B36*3.6/1000000/'E Balans VL '!Z24*100)</f>
        <v>8.7527502866459855E-2</v>
      </c>
      <c r="D36" s="235" t="s">
        <v>647</v>
      </c>
    </row>
    <row r="37" spans="1:5">
      <c r="A37" s="170" t="s">
        <v>259</v>
      </c>
      <c r="B37" s="37">
        <f>IF( ISERROR(IND_rest_ele_kWh/1000),0,IND_rest_ele_kWh/1000)</f>
        <v>32062.552183522399</v>
      </c>
      <c r="C37" s="39">
        <f>IF(ISERROR(B37*3.6/1000000/'E Balans VL '!Z15*100),0,B37*3.6/1000000/'E Balans VL '!Z15*100)</f>
        <v>0.24708134550565564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1281.94125966673</v>
      </c>
      <c r="C5" s="17">
        <f>'Eigen informatie GS &amp; warmtenet'!B60</f>
        <v>0</v>
      </c>
      <c r="D5" s="30">
        <f>IF(ISERROR(SUM(LB_lb_gas_kWh,LB_rest_gas_kWh)/1000),0,SUM(LB_lb_gas_kWh,LB_rest_gas_kWh)/1000)*0.902</f>
        <v>93381.363268354864</v>
      </c>
      <c r="E5" s="17">
        <f>B17*'E Balans VL '!I25/3.6*1000000/100</f>
        <v>26.619138694585249</v>
      </c>
      <c r="F5" s="17">
        <f>B17*('E Balans VL '!L25/3.6*1000000+'E Balans VL '!N25/3.6*1000000)/100</f>
        <v>4530.4131230588346</v>
      </c>
      <c r="G5" s="18"/>
      <c r="H5" s="17"/>
      <c r="I5" s="17"/>
      <c r="J5" s="17">
        <f>('E Balans VL '!D25+'E Balans VL '!E25)/3.6*1000000*landbouw!B17/100</f>
        <v>147.03055442281826</v>
      </c>
      <c r="K5" s="17"/>
      <c r="L5" s="17">
        <f>L6*(-1)</f>
        <v>0</v>
      </c>
      <c r="M5" s="17"/>
      <c r="N5" s="17">
        <f>N6*(-1)</f>
        <v>0</v>
      </c>
      <c r="O5" s="17"/>
      <c r="P5" s="17"/>
      <c r="R5" s="32"/>
    </row>
    <row r="6" spans="1:18">
      <c r="A6" s="16" t="s">
        <v>483</v>
      </c>
      <c r="B6" s="17" t="s">
        <v>204</v>
      </c>
      <c r="C6" s="17">
        <f>'lokale energieproductie'!O41+'lokale energieproductie'!O34</f>
        <v>44145</v>
      </c>
      <c r="D6" s="305">
        <f>('lokale energieproductie'!P34+'lokale energieproductie'!P41)*(-1)</f>
        <v>-88290</v>
      </c>
      <c r="E6" s="246"/>
      <c r="F6" s="305">
        <f>('lokale energieproductie'!S34+'lokale energieproductie'!S41)*(-1)</f>
        <v>0</v>
      </c>
      <c r="G6" s="247"/>
      <c r="H6" s="246"/>
      <c r="I6" s="246"/>
      <c r="J6" s="246"/>
      <c r="K6" s="246"/>
      <c r="L6" s="305">
        <f>('lokale energieproductie'!T34+'lokale energieproductie'!U34+'lokale energieproductie'!T41+'lokale energieproductie'!U41)*(-1)</f>
        <v>0</v>
      </c>
      <c r="M6" s="246"/>
      <c r="N6" s="978">
        <f>('lokale energieproductie'!V34+'lokale energieproductie'!R34+'lokale energieproductie'!Q34+'lokale energieproductie'!Q41+'lokale energieproductie'!R41+'lokale energieproductie'!V41)*(-1)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1281.94125966673</v>
      </c>
      <c r="C8" s="21">
        <f>C5+C6</f>
        <v>44145</v>
      </c>
      <c r="D8" s="21">
        <f>MAX((D5+D6),0)</f>
        <v>5091.363268354864</v>
      </c>
      <c r="E8" s="21">
        <f>MAX((E5+E6),0)</f>
        <v>26.619138694585249</v>
      </c>
      <c r="F8" s="21">
        <f>MAX((F5+F6),0)</f>
        <v>4530.4131230588346</v>
      </c>
      <c r="G8" s="21"/>
      <c r="H8" s="21"/>
      <c r="I8" s="21"/>
      <c r="J8" s="21">
        <f>MAX((J5+J6),0)</f>
        <v>147.03055442281826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0.21639608971995181</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277.40707584254977</v>
      </c>
      <c r="C12" s="23">
        <f ca="1">C8*C10</f>
        <v>10490.929411764706</v>
      </c>
      <c r="D12" s="23">
        <f>D8*D10</f>
        <v>1028.4553802076825</v>
      </c>
      <c r="E12" s="23">
        <f>E8*E10</f>
        <v>6.0425444836708522</v>
      </c>
      <c r="F12" s="23">
        <f>F8*F10</f>
        <v>1209.6203038567089</v>
      </c>
      <c r="G12" s="23"/>
      <c r="H12" s="23"/>
      <c r="I12" s="23"/>
      <c r="J12" s="23">
        <f>J8*J10</f>
        <v>52.048816265677658</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0.17879040128033255</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8.344038334503832</v>
      </c>
      <c r="C26" s="245">
        <f>B26*'GWP N2O_CH4'!B5</f>
        <v>175.22480502458046</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6.7160901025618651</v>
      </c>
      <c r="C27" s="245">
        <f>B27*'GWP N2O_CH4'!B5</f>
        <v>141.03789215379916</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0.13199442818834878</v>
      </c>
      <c r="C28" s="245">
        <f>B28*'GWP N2O_CH4'!B4</f>
        <v>40.918272738388119</v>
      </c>
      <c r="D28" s="50"/>
    </row>
    <row r="29" spans="1:4">
      <c r="A29" s="41" t="s">
        <v>266</v>
      </c>
      <c r="B29" s="245">
        <f>B34*'ha_N2O bodem landbouw'!B4</f>
        <v>2.1562979443556127</v>
      </c>
      <c r="C29" s="245">
        <f>B29*'GWP N2O_CH4'!B4</f>
        <v>668.4523627502399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5.3840605037517382E-4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5.3818719718186861E-5</v>
      </c>
      <c r="C5" s="434" t="s">
        <v>204</v>
      </c>
      <c r="D5" s="419">
        <f>SUM(D6:D11)</f>
        <v>4.5592103735747422E-5</v>
      </c>
      <c r="E5" s="419">
        <f>SUM(E6:E11)</f>
        <v>1.8907591884989713E-3</v>
      </c>
      <c r="F5" s="432" t="s">
        <v>204</v>
      </c>
      <c r="G5" s="419">
        <f>SUM(G6:G11)</f>
        <v>0.68683808574940119</v>
      </c>
      <c r="H5" s="419">
        <f>SUM(H6:H11)</f>
        <v>8.6618856025156454E-2</v>
      </c>
      <c r="I5" s="434" t="s">
        <v>204</v>
      </c>
      <c r="J5" s="434" t="s">
        <v>204</v>
      </c>
      <c r="K5" s="434" t="s">
        <v>204</v>
      </c>
      <c r="L5" s="434" t="s">
        <v>204</v>
      </c>
      <c r="M5" s="419">
        <f>SUM(M6:M11)</f>
        <v>3.4959831653508244E-2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1.0582001087999272E-5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9.3863190250405781E-6</v>
      </c>
      <c r="E6" s="836">
        <f>vkm_GW_PW*SUMIFS(TableVerdeelsleutelVkm[LPG],TableVerdeelsleutelVkm[Voertuigtype],"Lichte voertuigen")*SUMIFS(TableECFTransport[EnergieConsumptieFactor (PJ per km)],TableECFTransport[Index],CONCATENATE($A6,"_LPG_LPG"))</f>
        <v>3.3705496939703551E-4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6.7004650901359861E-2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1.7296842881014844E-2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3.8138155072249746E-3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2.1458509068979033E-7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3.3579376112532498E-2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8.833252776935172E-7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1.5161659460190117E-3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3.8737975993069346E-6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5.4059807191984171E-6</v>
      </c>
      <c r="E8" s="422">
        <f>vkm_NGW_PW*SUMIFS(TableVerdeelsleutelVkm[LPG],TableVerdeelsleutelVkm[Voertuigtype],"Lichte voertuigen")*SUMIFS(TableECFTransport[EnergieConsumptieFactor (PJ per km)],TableECFTransport[Index],CONCATENATE($A8,"_LPG_LPG"))</f>
        <v>1.8429799351220934E-4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3.4564810450082986E-2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9.5487177762020488E-3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1.9959218518121953E-3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1.1371168690527225E-7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2.2856947554414923E-2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5.6499247440106354E-7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1.0320284054402941E-3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3.7159948797351627E-5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3.0799803991508427E-5</v>
      </c>
      <c r="E10" s="422">
        <f>vkm_SW_PW*SUMIFS(TableVerdeelsleutelVkm[LPG],TableVerdeelsleutelVkm[Voertuigtype],"Lichte voertuigen")*SUMIFS(TableECFTransport[EnergieConsumptieFactor (PJ per km)],TableECFTransport[Index],CONCATENATE($A10,"_LPG_LPG"))</f>
        <v>1.3694062255897265E-3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0.24932273962040838</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5.976390417666072E-2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1.3981540939978238E-2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1.8746754559339657E-6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0.2795095611106026</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7.9428735267521336E-6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1.2620359003033531E-2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14.949644366163017</v>
      </c>
      <c r="C14" s="21"/>
      <c r="D14" s="21">
        <f t="shared" ref="D14:M14" si="0">((D5)*10^9/3600)+D12</f>
        <v>12.664473259929839</v>
      </c>
      <c r="E14" s="21">
        <f t="shared" si="0"/>
        <v>525.21088569415872</v>
      </c>
      <c r="F14" s="21"/>
      <c r="G14" s="21">
        <f t="shared" si="0"/>
        <v>190788.35715261145</v>
      </c>
      <c r="H14" s="21">
        <f t="shared" si="0"/>
        <v>24060.793340321237</v>
      </c>
      <c r="I14" s="21"/>
      <c r="J14" s="21"/>
      <c r="K14" s="21"/>
      <c r="L14" s="21"/>
      <c r="M14" s="21">
        <f t="shared" si="0"/>
        <v>9711.0643481967345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0.21639608971995181</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3.2350445835415842</v>
      </c>
      <c r="C18" s="23"/>
      <c r="D18" s="23">
        <f t="shared" ref="D18:M18" si="1">D14*D16</f>
        <v>2.5582235985058275</v>
      </c>
      <c r="E18" s="23">
        <f t="shared" si="1"/>
        <v>119.22287105257404</v>
      </c>
      <c r="F18" s="23"/>
      <c r="G18" s="23">
        <f t="shared" si="1"/>
        <v>50940.491359747262</v>
      </c>
      <c r="H18" s="23">
        <f t="shared" si="1"/>
        <v>5991.1375417399877</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4.241248579343845E-3</v>
      </c>
      <c r="C50" s="316">
        <f t="shared" ref="C50:P50" si="2">SUM(C51:C52)</f>
        <v>0</v>
      </c>
      <c r="D50" s="316">
        <f t="shared" si="2"/>
        <v>0</v>
      </c>
      <c r="E50" s="316">
        <f t="shared" si="2"/>
        <v>0</v>
      </c>
      <c r="F50" s="316">
        <f t="shared" si="2"/>
        <v>0</v>
      </c>
      <c r="G50" s="316">
        <f t="shared" si="2"/>
        <v>3.9129625291844947E-3</v>
      </c>
      <c r="H50" s="316">
        <f t="shared" si="2"/>
        <v>0</v>
      </c>
      <c r="I50" s="316">
        <f t="shared" si="2"/>
        <v>0</v>
      </c>
      <c r="J50" s="316">
        <f t="shared" si="2"/>
        <v>0</v>
      </c>
      <c r="K50" s="316">
        <f t="shared" si="2"/>
        <v>0</v>
      </c>
      <c r="L50" s="316">
        <f t="shared" si="2"/>
        <v>0</v>
      </c>
      <c r="M50" s="316">
        <f t="shared" si="2"/>
        <v>1.7546052773535255E-4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2.0103140409217348E-5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3.9129625291844947E-3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1.7546052773535255E-4</v>
      </c>
      <c r="N51" s="318"/>
      <c r="O51" s="318"/>
      <c r="P51" s="321"/>
    </row>
    <row r="52" spans="1:18">
      <c r="A52" s="4" t="s">
        <v>318</v>
      </c>
      <c r="B52" s="322">
        <f>vkm_tram*SUMIFS(TableECFTransport[EnergieConsumptieFactor (PJ per km)],TableECFTransport[Index],"Tram_gemiddeld_Electric_Electric")</f>
        <v>4.2211454389346273E-3</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1178.1246053732903</v>
      </c>
      <c r="C54" s="21">
        <f t="shared" ref="C54:P54" si="3">(C50)*10^9/3600</f>
        <v>0</v>
      </c>
      <c r="D54" s="21">
        <f t="shared" si="3"/>
        <v>0</v>
      </c>
      <c r="E54" s="21">
        <f t="shared" si="3"/>
        <v>0</v>
      </c>
      <c r="F54" s="21">
        <f t="shared" si="3"/>
        <v>0</v>
      </c>
      <c r="G54" s="21">
        <f t="shared" si="3"/>
        <v>1086.9340358845818</v>
      </c>
      <c r="H54" s="21">
        <f t="shared" si="3"/>
        <v>0</v>
      </c>
      <c r="I54" s="21">
        <f t="shared" si="3"/>
        <v>0</v>
      </c>
      <c r="J54" s="21">
        <f t="shared" si="3"/>
        <v>0</v>
      </c>
      <c r="K54" s="21">
        <f t="shared" si="3"/>
        <v>0</v>
      </c>
      <c r="L54" s="21">
        <f t="shared" si="3"/>
        <v>0</v>
      </c>
      <c r="M54" s="21">
        <f t="shared" si="3"/>
        <v>48.739035482042375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0.21639608971995181</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254.94155780564134</v>
      </c>
      <c r="C58" s="23">
        <f t="shared" ref="C58:P58" ca="1" si="4">C54*C56</f>
        <v>0</v>
      </c>
      <c r="D58" s="23">
        <f t="shared" si="4"/>
        <v>0</v>
      </c>
      <c r="E58" s="23">
        <f t="shared" si="4"/>
        <v>0</v>
      </c>
      <c r="F58" s="23">
        <f t="shared" si="4"/>
        <v>0</v>
      </c>
      <c r="G58" s="23">
        <f t="shared" si="4"/>
        <v>290.21138758118337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4484.7384167839273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N31</f>
        <v>30924</v>
      </c>
      <c r="C8" s="546">
        <f>B50</f>
        <v>36381.176470588238</v>
      </c>
      <c r="D8" s="963"/>
      <c r="E8" s="963">
        <f>E50</f>
        <v>0</v>
      </c>
      <c r="F8" s="964"/>
      <c r="G8" s="547"/>
      <c r="H8" s="963">
        <f>I50</f>
        <v>0</v>
      </c>
      <c r="I8" s="963">
        <f>G50+F50</f>
        <v>0</v>
      </c>
      <c r="J8" s="963">
        <f>H50+D50+C50</f>
        <v>0</v>
      </c>
      <c r="K8" s="963"/>
      <c r="L8" s="963"/>
      <c r="M8" s="963"/>
      <c r="N8" s="548"/>
      <c r="O8" s="549">
        <f>C8*$C$12+D8*$D$12+E8*$E$12+F8*$F$12+G8*$G$12+H8*$H$12+I8*$I$12+J8*$J$12</f>
        <v>7348.9976470588244</v>
      </c>
      <c r="P8" s="1206"/>
      <c r="Q8" s="1207"/>
      <c r="S8" s="975"/>
      <c r="T8" s="1227"/>
      <c r="U8" s="1227"/>
    </row>
    <row r="9" spans="1:21" s="534" customFormat="1" ht="17.45" customHeight="1" thickBot="1">
      <c r="A9" s="550" t="s">
        <v>237</v>
      </c>
      <c r="B9" s="551">
        <f>N38+'Eigen informatie GS &amp; warmtenet'!B12</f>
        <v>0</v>
      </c>
      <c r="C9" s="552">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35408.738416783926</v>
      </c>
      <c r="C10" s="559">
        <f t="shared" ref="C10:L10" si="0">SUM(C8:C9)</f>
        <v>36381.176470588238</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7348.9976470588244</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O31</f>
        <v>44177.142857142855</v>
      </c>
      <c r="C17" s="571">
        <f>B51</f>
        <v>51973.10924369748</v>
      </c>
      <c r="D17" s="572"/>
      <c r="E17" s="572">
        <f>E51</f>
        <v>0</v>
      </c>
      <c r="F17" s="969"/>
      <c r="G17" s="573"/>
      <c r="H17" s="571">
        <f>I51</f>
        <v>0</v>
      </c>
      <c r="I17" s="572">
        <f>G51+F51</f>
        <v>0</v>
      </c>
      <c r="J17" s="572">
        <f>H51+D51+C51</f>
        <v>0</v>
      </c>
      <c r="K17" s="572"/>
      <c r="L17" s="572"/>
      <c r="M17" s="572"/>
      <c r="N17" s="970"/>
      <c r="O17" s="574">
        <f>C17*$C$22+E17*$E$22+H17*$H$22+I17*$I$22+J17*$J$22+D17*$D$22+F17*$F$22+G17*$G$22+K17*$K$22+L17*$L$22</f>
        <v>10498.568067226892</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44177.142857142855</v>
      </c>
      <c r="C20" s="558">
        <f>SUM(C17:C19)</f>
        <v>51973.10924369748</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10498.568067226892</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11056</v>
      </c>
      <c r="C28" s="741">
        <v>2070</v>
      </c>
      <c r="D28" s="630"/>
      <c r="E28" s="629"/>
      <c r="F28" s="629"/>
      <c r="G28" s="629" t="s">
        <v>908</v>
      </c>
      <c r="H28" s="629" t="s">
        <v>909</v>
      </c>
      <c r="I28" s="629"/>
      <c r="J28" s="740"/>
      <c r="K28" s="740"/>
      <c r="L28" s="629" t="s">
        <v>910</v>
      </c>
      <c r="M28" s="629">
        <v>2067</v>
      </c>
      <c r="N28" s="629">
        <v>9301.5</v>
      </c>
      <c r="O28" s="629">
        <v>13287.857142857143</v>
      </c>
      <c r="P28" s="629">
        <v>26575.714285714286</v>
      </c>
      <c r="Q28" s="629">
        <v>0</v>
      </c>
      <c r="R28" s="629">
        <v>0</v>
      </c>
      <c r="S28" s="629">
        <v>0</v>
      </c>
      <c r="T28" s="629">
        <v>0</v>
      </c>
      <c r="U28" s="629">
        <v>0</v>
      </c>
      <c r="V28" s="629">
        <v>0</v>
      </c>
      <c r="W28" s="629">
        <v>0</v>
      </c>
      <c r="X28" s="629"/>
      <c r="Y28" s="629">
        <v>10</v>
      </c>
      <c r="Z28" s="629" t="s">
        <v>105</v>
      </c>
      <c r="AA28" s="631" t="s">
        <v>105</v>
      </c>
    </row>
    <row r="29" spans="1:27" s="583" customFormat="1" ht="63.75" hidden="1">
      <c r="A29" s="582"/>
      <c r="B29" s="741">
        <v>11056</v>
      </c>
      <c r="C29" s="741">
        <v>2070</v>
      </c>
      <c r="D29" s="630"/>
      <c r="E29" s="629"/>
      <c r="F29" s="629"/>
      <c r="G29" s="629" t="s">
        <v>908</v>
      </c>
      <c r="H29" s="629" t="s">
        <v>909</v>
      </c>
      <c r="I29" s="629"/>
      <c r="J29" s="740"/>
      <c r="K29" s="740"/>
      <c r="L29" s="629" t="s">
        <v>910</v>
      </c>
      <c r="M29" s="629">
        <v>5</v>
      </c>
      <c r="N29" s="629">
        <v>22.5</v>
      </c>
      <c r="O29" s="629">
        <v>32.142857142857146</v>
      </c>
      <c r="P29" s="629">
        <v>64.285714285714292</v>
      </c>
      <c r="Q29" s="629">
        <v>0</v>
      </c>
      <c r="R29" s="629">
        <v>0</v>
      </c>
      <c r="S29" s="629">
        <v>0</v>
      </c>
      <c r="T29" s="629">
        <v>0</v>
      </c>
      <c r="U29" s="629">
        <v>0</v>
      </c>
      <c r="V29" s="629">
        <v>0</v>
      </c>
      <c r="W29" s="629">
        <v>0</v>
      </c>
      <c r="X29" s="629"/>
      <c r="Y29" s="629">
        <v>1600</v>
      </c>
      <c r="Z29" s="629" t="s">
        <v>49</v>
      </c>
      <c r="AA29" s="631" t="s">
        <v>149</v>
      </c>
    </row>
    <row r="30" spans="1:27" s="583" customFormat="1" ht="25.5" hidden="1">
      <c r="A30" s="582"/>
      <c r="B30" s="741">
        <v>11056</v>
      </c>
      <c r="C30" s="741">
        <v>2070</v>
      </c>
      <c r="D30" s="630"/>
      <c r="E30" s="629"/>
      <c r="F30" s="629"/>
      <c r="G30" s="629" t="s">
        <v>908</v>
      </c>
      <c r="H30" s="629" t="s">
        <v>909</v>
      </c>
      <c r="I30" s="629"/>
      <c r="J30" s="740"/>
      <c r="K30" s="740"/>
      <c r="L30" s="629" t="s">
        <v>910</v>
      </c>
      <c r="M30" s="629">
        <v>4800</v>
      </c>
      <c r="N30" s="629">
        <v>21600</v>
      </c>
      <c r="O30" s="629">
        <v>30857.142857142859</v>
      </c>
      <c r="P30" s="629">
        <v>61714.285714285717</v>
      </c>
      <c r="Q30" s="629">
        <v>0</v>
      </c>
      <c r="R30" s="629">
        <v>0</v>
      </c>
      <c r="S30" s="629">
        <v>0</v>
      </c>
      <c r="T30" s="629">
        <v>0</v>
      </c>
      <c r="U30" s="629">
        <v>0</v>
      </c>
      <c r="V30" s="629">
        <v>0</v>
      </c>
      <c r="W30" s="629">
        <v>0</v>
      </c>
      <c r="X30" s="629"/>
      <c r="Y30" s="629">
        <v>10</v>
      </c>
      <c r="Z30" s="629" t="s">
        <v>105</v>
      </c>
      <c r="AA30" s="631" t="s">
        <v>105</v>
      </c>
    </row>
    <row r="31" spans="1:27" s="566" customFormat="1" hidden="1">
      <c r="A31" s="585" t="s">
        <v>269</v>
      </c>
      <c r="B31" s="586"/>
      <c r="C31" s="586"/>
      <c r="D31" s="586"/>
      <c r="E31" s="586"/>
      <c r="F31" s="586"/>
      <c r="G31" s="586"/>
      <c r="H31" s="586"/>
      <c r="I31" s="586"/>
      <c r="J31" s="586"/>
      <c r="K31" s="586"/>
      <c r="L31" s="587"/>
      <c r="M31" s="587">
        <f>SUM(M28:M30)</f>
        <v>6872</v>
      </c>
      <c r="N31" s="587">
        <f>SUM(N28:N30)</f>
        <v>30924</v>
      </c>
      <c r="O31" s="587">
        <f>SUM(O28:O30)</f>
        <v>44177.142857142855</v>
      </c>
      <c r="P31" s="587">
        <f>SUM(P28:P30)</f>
        <v>88354.28571428571</v>
      </c>
      <c r="Q31" s="587">
        <f>SUM(Q28:Q30)</f>
        <v>0</v>
      </c>
      <c r="R31" s="587">
        <f>SUM(R28:R30)</f>
        <v>0</v>
      </c>
      <c r="S31" s="587">
        <f>SUM(S28:S30)</f>
        <v>0</v>
      </c>
      <c r="T31" s="587">
        <f>SUM(T28:T30)</f>
        <v>0</v>
      </c>
      <c r="U31" s="587">
        <f>SUM(U28:U30)</f>
        <v>0</v>
      </c>
      <c r="V31" s="587">
        <f>SUM(V28:V30)</f>
        <v>0</v>
      </c>
      <c r="W31" s="587">
        <f>SUM(W28:W30)</f>
        <v>0</v>
      </c>
      <c r="X31" s="587"/>
      <c r="Y31" s="588"/>
      <c r="Z31" s="588"/>
      <c r="AA31" s="589"/>
    </row>
    <row r="32" spans="1:27" s="566" customFormat="1">
      <c r="A32" s="585" t="s">
        <v>276</v>
      </c>
      <c r="B32" s="586"/>
      <c r="C32" s="586"/>
      <c r="D32" s="586"/>
      <c r="E32" s="586"/>
      <c r="F32" s="586"/>
      <c r="G32" s="586"/>
      <c r="H32" s="586"/>
      <c r="I32" s="586"/>
      <c r="J32" s="586"/>
      <c r="K32" s="586"/>
      <c r="L32" s="587"/>
      <c r="M32" s="587">
        <f>SUMIF($AA$28:$AA$30,"industrie",M28:M30)</f>
        <v>0</v>
      </c>
      <c r="N32" s="587">
        <f>SUMIF($AA$28:$AA$30,"industrie",N28:N30)</f>
        <v>0</v>
      </c>
      <c r="O32" s="587">
        <f>SUMIF($AA$28:$AA$30,"industrie",O28:O30)</f>
        <v>0</v>
      </c>
      <c r="P32" s="587">
        <f>SUMIF($AA$28:$AA$30,"industrie",P28:P30)</f>
        <v>0</v>
      </c>
      <c r="Q32" s="587">
        <f>SUMIF($AA$28:$AA$30,"industrie",Q28:Q30)</f>
        <v>0</v>
      </c>
      <c r="R32" s="587">
        <f>SUMIF($AA$28:$AA$30,"industrie",R28:R30)</f>
        <v>0</v>
      </c>
      <c r="S32" s="587">
        <f>SUMIF($AA$28:$AA$30,"industrie",S28:S30)</f>
        <v>0</v>
      </c>
      <c r="T32" s="587">
        <f>SUMIF($AA$28:$AA$30,"industrie",T28:T30)</f>
        <v>0</v>
      </c>
      <c r="U32" s="587">
        <f>SUMIF($AA$28:$AA$30,"industrie",U28:U30)</f>
        <v>0</v>
      </c>
      <c r="V32" s="587">
        <f>SUMIF($AA$28:$AA$30,"industrie",V28:V30)</f>
        <v>0</v>
      </c>
      <c r="W32" s="587">
        <f>SUMIF($AA$28:$AA$30,"industrie",W28:W30)</f>
        <v>0</v>
      </c>
      <c r="X32" s="587"/>
      <c r="Y32" s="588"/>
      <c r="Z32" s="588"/>
      <c r="AA32" s="589"/>
    </row>
    <row r="33" spans="1:28" s="566" customFormat="1">
      <c r="A33" s="585" t="s">
        <v>277</v>
      </c>
      <c r="B33" s="586"/>
      <c r="C33" s="586"/>
      <c r="D33" s="586"/>
      <c r="E33" s="586"/>
      <c r="F33" s="586"/>
      <c r="G33" s="586"/>
      <c r="H33" s="586"/>
      <c r="I33" s="586"/>
      <c r="J33" s="586"/>
      <c r="K33" s="586"/>
      <c r="L33" s="587"/>
      <c r="M33" s="587">
        <f ca="1">SUMIF($AA$28:AD30,"tertiair",M28:M30)</f>
        <v>5</v>
      </c>
      <c r="N33" s="587">
        <f ca="1">SUMIF($AA$28:AE30,"tertiair",N28:N30)</f>
        <v>22.5</v>
      </c>
      <c r="O33" s="587">
        <f ca="1">SUMIF($AA$28:AF30,"tertiair",O28:O30)</f>
        <v>32.142857142857146</v>
      </c>
      <c r="P33" s="587">
        <f ca="1">SUMIF($AA$28:AG30,"tertiair",P28:P30)</f>
        <v>64.285714285714292</v>
      </c>
      <c r="Q33" s="587">
        <f ca="1">SUMIF($AA$28:AH30,"tertiair",Q28:Q30)</f>
        <v>0</v>
      </c>
      <c r="R33" s="587">
        <f ca="1">SUMIF($AA$28:AI30,"tertiair",R28:R30)</f>
        <v>0</v>
      </c>
      <c r="S33" s="587">
        <f ca="1">SUMIF($AA$28:AJ30,"tertiair",S28:S30)</f>
        <v>0</v>
      </c>
      <c r="T33" s="587">
        <f ca="1">SUMIF($AA$28:AK30,"tertiair",T28:T30)</f>
        <v>0</v>
      </c>
      <c r="U33" s="587">
        <f ca="1">SUMIF($AA$28:AL30,"tertiair",U28:U30)</f>
        <v>0</v>
      </c>
      <c r="V33" s="587">
        <f ca="1">SUMIF($AA$28:AM30,"tertiair",V28:V30)</f>
        <v>0</v>
      </c>
      <c r="W33" s="587">
        <f ca="1">SUMIF($AA$28:AN30,"tertiair",W28:W30)</f>
        <v>0</v>
      </c>
      <c r="X33" s="587"/>
      <c r="Y33" s="588"/>
      <c r="Z33" s="588"/>
      <c r="AA33" s="589"/>
    </row>
    <row r="34" spans="1:28" s="566" customFormat="1" ht="15.75" thickBot="1">
      <c r="A34" s="590" t="s">
        <v>278</v>
      </c>
      <c r="B34" s="591"/>
      <c r="C34" s="591"/>
      <c r="D34" s="591"/>
      <c r="E34" s="591"/>
      <c r="F34" s="591"/>
      <c r="G34" s="591"/>
      <c r="H34" s="591"/>
      <c r="I34" s="591"/>
      <c r="J34" s="591"/>
      <c r="K34" s="591"/>
      <c r="L34" s="592"/>
      <c r="M34" s="592">
        <f>SUMIF($AA$28:$AA$30,"landbouw",M28:M30)</f>
        <v>6867</v>
      </c>
      <c r="N34" s="592">
        <f>SUMIF($AA$28:$AA$30,"landbouw",N28:N30)</f>
        <v>30901.5</v>
      </c>
      <c r="O34" s="592">
        <f>SUMIF($AA$28:$AA$30,"landbouw",O28:O30)</f>
        <v>44145</v>
      </c>
      <c r="P34" s="592">
        <f>SUMIF($AA$28:$AA$30,"landbouw",P28:P30)</f>
        <v>88290</v>
      </c>
      <c r="Q34" s="592">
        <f>SUMIF($AA$28:$AA$30,"landbouw",Q28:Q30)</f>
        <v>0</v>
      </c>
      <c r="R34" s="592">
        <f>SUMIF($AA$28:$AA$30,"landbouw",R28:R30)</f>
        <v>0</v>
      </c>
      <c r="S34" s="592">
        <f>SUMIF($AA$28:$AA$30,"landbouw",S28:S30)</f>
        <v>0</v>
      </c>
      <c r="T34" s="592">
        <f>SUMIF($AA$28:$AA$30,"landbouw",T28:T30)</f>
        <v>0</v>
      </c>
      <c r="U34" s="592">
        <f>SUMIF($AA$28:$AA$30,"landbouw",U28:U30)</f>
        <v>0</v>
      </c>
      <c r="V34" s="592">
        <f>SUMIF($AA$28:$AA$30,"landbouw",V28:V30)</f>
        <v>0</v>
      </c>
      <c r="W34" s="592">
        <f>SUMIF($AA$28:$AA$30,"landbouw",W28:W30)</f>
        <v>0</v>
      </c>
      <c r="X34" s="592"/>
      <c r="Y34" s="593"/>
      <c r="Z34" s="593"/>
      <c r="AA34" s="594"/>
    </row>
    <row r="35" spans="1:28" s="534" customFormat="1" ht="15.75" thickBot="1">
      <c r="A35" s="595"/>
      <c r="B35" s="596"/>
      <c r="C35" s="596"/>
      <c r="D35" s="596"/>
      <c r="E35" s="596"/>
      <c r="F35" s="596"/>
      <c r="G35" s="596"/>
      <c r="H35" s="596"/>
      <c r="I35" s="596"/>
      <c r="J35" s="596"/>
      <c r="K35" s="596"/>
      <c r="L35" s="579"/>
      <c r="M35" s="579"/>
      <c r="N35" s="579"/>
      <c r="O35" s="580"/>
      <c r="P35" s="580"/>
    </row>
    <row r="36" spans="1:28" s="534" customFormat="1" ht="45">
      <c r="A36" s="597" t="s">
        <v>270</v>
      </c>
      <c r="B36" s="626" t="s">
        <v>89</v>
      </c>
      <c r="C36" s="626" t="s">
        <v>90</v>
      </c>
      <c r="D36" s="626"/>
      <c r="E36" s="626"/>
      <c r="F36" s="626"/>
      <c r="G36" s="626" t="s">
        <v>91</v>
      </c>
      <c r="H36" s="626" t="s">
        <v>92</v>
      </c>
      <c r="I36" s="626"/>
      <c r="J36" s="626"/>
      <c r="K36" s="626"/>
      <c r="L36" s="626" t="s">
        <v>93</v>
      </c>
      <c r="M36" s="627" t="s">
        <v>287</v>
      </c>
      <c r="N36" s="627" t="s">
        <v>94</v>
      </c>
      <c r="O36" s="627" t="s">
        <v>95</v>
      </c>
      <c r="P36" s="627" t="s">
        <v>528</v>
      </c>
      <c r="Q36" s="627" t="s">
        <v>96</v>
      </c>
      <c r="R36" s="627" t="s">
        <v>97</v>
      </c>
      <c r="S36" s="627" t="s">
        <v>98</v>
      </c>
      <c r="T36" s="627" t="s">
        <v>99</v>
      </c>
      <c r="U36" s="627" t="s">
        <v>100</v>
      </c>
      <c r="V36" s="627" t="s">
        <v>101</v>
      </c>
      <c r="W36" s="626" t="s">
        <v>102</v>
      </c>
      <c r="X36" s="626" t="s">
        <v>907</v>
      </c>
      <c r="Y36" s="626" t="s">
        <v>288</v>
      </c>
      <c r="Z36" s="626" t="s">
        <v>103</v>
      </c>
      <c r="AA36" s="628" t="s">
        <v>289</v>
      </c>
    </row>
    <row r="37" spans="1:28" s="598" customFormat="1" ht="12.75" hidden="1">
      <c r="A37" s="584"/>
      <c r="B37" s="741"/>
      <c r="C37" s="741"/>
      <c r="D37" s="632"/>
      <c r="E37" s="632"/>
      <c r="F37" s="632"/>
      <c r="G37" s="632"/>
      <c r="H37" s="632"/>
      <c r="I37" s="632"/>
      <c r="J37" s="740"/>
      <c r="K37" s="740"/>
      <c r="L37" s="632"/>
      <c r="M37" s="632"/>
      <c r="N37" s="632"/>
      <c r="O37" s="632"/>
      <c r="P37" s="632"/>
      <c r="Q37" s="632"/>
      <c r="R37" s="632"/>
      <c r="S37" s="632"/>
      <c r="T37" s="632"/>
      <c r="U37" s="632"/>
      <c r="V37" s="632"/>
      <c r="W37" s="632"/>
      <c r="X37" s="632"/>
      <c r="Y37" s="632"/>
      <c r="Z37" s="632"/>
      <c r="AA37" s="633"/>
    </row>
    <row r="38" spans="1:28" s="566" customFormat="1" hidden="1">
      <c r="A38" s="585" t="s">
        <v>269</v>
      </c>
      <c r="B38" s="586"/>
      <c r="C38" s="586"/>
      <c r="D38" s="586"/>
      <c r="E38" s="586"/>
      <c r="F38" s="586"/>
      <c r="G38" s="586"/>
      <c r="H38" s="586"/>
      <c r="I38" s="586"/>
      <c r="J38" s="586"/>
      <c r="K38" s="586"/>
      <c r="L38" s="587"/>
      <c r="M38" s="587">
        <f>SUM(M37:M37)</f>
        <v>0</v>
      </c>
      <c r="N38" s="587">
        <f>SUM(N37:N37)</f>
        <v>0</v>
      </c>
      <c r="O38" s="587">
        <f>SUM(O37:O37)</f>
        <v>0</v>
      </c>
      <c r="P38" s="587">
        <f>SUM(P37:P37)</f>
        <v>0</v>
      </c>
      <c r="Q38" s="587">
        <f>SUM(Q37:Q37)</f>
        <v>0</v>
      </c>
      <c r="R38" s="587">
        <f>SUM(R37:R37)</f>
        <v>0</v>
      </c>
      <c r="S38" s="587">
        <f>SUM(S37:S37)</f>
        <v>0</v>
      </c>
      <c r="T38" s="587">
        <f>SUM(T37:T37)</f>
        <v>0</v>
      </c>
      <c r="U38" s="587">
        <f>SUM(U37:U37)</f>
        <v>0</v>
      </c>
      <c r="V38" s="587">
        <f>SUM(V37:V37)</f>
        <v>0</v>
      </c>
      <c r="W38" s="587">
        <f>SUM(W37:W37)</f>
        <v>0</v>
      </c>
      <c r="X38" s="587"/>
      <c r="Y38" s="588"/>
      <c r="Z38" s="588"/>
      <c r="AA38" s="589"/>
    </row>
    <row r="39" spans="1:28" s="566" customFormat="1">
      <c r="A39" s="585" t="s">
        <v>276</v>
      </c>
      <c r="B39" s="586"/>
      <c r="C39" s="586"/>
      <c r="D39" s="586"/>
      <c r="E39" s="586"/>
      <c r="F39" s="586"/>
      <c r="G39" s="586"/>
      <c r="H39" s="586"/>
      <c r="I39" s="586"/>
      <c r="J39" s="586"/>
      <c r="K39" s="586"/>
      <c r="L39" s="587"/>
      <c r="M39" s="587">
        <f>SUMIF($AA$37:$AA$37,"industrie",M37:M37)</f>
        <v>0</v>
      </c>
      <c r="N39" s="587">
        <f>SUMIF($AA$37:$AA$37,"industrie",N37:N37)</f>
        <v>0</v>
      </c>
      <c r="O39" s="587">
        <f>SUMIF($AA$37:$AA$37,"industrie",O37:O37)</f>
        <v>0</v>
      </c>
      <c r="P39" s="587">
        <f>SUMIF($AA$37:$AA$37,"industrie",P37:P37)</f>
        <v>0</v>
      </c>
      <c r="Q39" s="587">
        <f>SUMIF($AA$37:$AA$37,"industrie",Q37:Q37)</f>
        <v>0</v>
      </c>
      <c r="R39" s="587">
        <f>SUMIF($AA$37:$AA$37,"industrie",R37:R37)</f>
        <v>0</v>
      </c>
      <c r="S39" s="587">
        <f>SUMIF($AA$37:$AA$37,"industrie",S37:S37)</f>
        <v>0</v>
      </c>
      <c r="T39" s="587">
        <f>SUMIF($AA$37:$AA$37,"industrie",T37:T37)</f>
        <v>0</v>
      </c>
      <c r="U39" s="587">
        <f>SUMIF($AA$37:$AA$37,"industrie",U37:U37)</f>
        <v>0</v>
      </c>
      <c r="V39" s="587">
        <f>SUMIF($AA$37:$AA$37,"industrie",V37:V37)</f>
        <v>0</v>
      </c>
      <c r="W39" s="587">
        <f>SUMIF($AA$37:$AA$37,"industrie",W37:W37)</f>
        <v>0</v>
      </c>
      <c r="X39" s="587"/>
      <c r="Y39" s="588"/>
      <c r="Z39" s="588"/>
      <c r="AA39" s="589"/>
    </row>
    <row r="40" spans="1:28" s="566" customFormat="1">
      <c r="A40" s="585" t="s">
        <v>277</v>
      </c>
      <c r="B40" s="586"/>
      <c r="C40" s="586"/>
      <c r="D40" s="586"/>
      <c r="E40" s="586"/>
      <c r="F40" s="586"/>
      <c r="G40" s="586"/>
      <c r="H40" s="586"/>
      <c r="I40" s="586"/>
      <c r="J40" s="586"/>
      <c r="K40" s="586"/>
      <c r="L40" s="587"/>
      <c r="M40" s="587">
        <f>SUMIF($AA$37:$AA$38,"tertiair",M37:M38)</f>
        <v>0</v>
      </c>
      <c r="N40" s="587">
        <f>SUMIF($AA$37:$AA$38,"tertiair",N37:N38)</f>
        <v>0</v>
      </c>
      <c r="O40" s="587">
        <f>SUMIF($AA$37:$AA$38,"tertiair",O37:O38)</f>
        <v>0</v>
      </c>
      <c r="P40" s="587">
        <f>SUMIF($AA$37:$AA$38,"tertiair",P37:P38)</f>
        <v>0</v>
      </c>
      <c r="Q40" s="587">
        <f>SUMIF($AA$37:$AA$38,"tertiair",Q37:Q38)</f>
        <v>0</v>
      </c>
      <c r="R40" s="587">
        <f>SUMIF($AA$37:$AA$38,"tertiair",R37:R38)</f>
        <v>0</v>
      </c>
      <c r="S40" s="587">
        <f>SUMIF($AA$37:$AA$38,"tertiair",S37:S38)</f>
        <v>0</v>
      </c>
      <c r="T40" s="587">
        <f>SUMIF($AA$37:$AA$38,"tertiair",T37:T38)</f>
        <v>0</v>
      </c>
      <c r="U40" s="587">
        <f>SUMIF($AA$37:$AA$38,"tertiair",U37:U38)</f>
        <v>0</v>
      </c>
      <c r="V40" s="587">
        <f>SUMIF($AA$37:$AA$38,"tertiair",V37:V38)</f>
        <v>0</v>
      </c>
      <c r="W40" s="587">
        <f>SUMIF($AA$37:$AA$38,"tertiair",W37:W38)</f>
        <v>0</v>
      </c>
      <c r="X40" s="587"/>
      <c r="Y40" s="588"/>
      <c r="Z40" s="588"/>
      <c r="AA40" s="589"/>
    </row>
    <row r="41" spans="1:28" s="566" customFormat="1" ht="15.75" thickBot="1">
      <c r="A41" s="590" t="s">
        <v>278</v>
      </c>
      <c r="B41" s="591"/>
      <c r="C41" s="591"/>
      <c r="D41" s="591"/>
      <c r="E41" s="591"/>
      <c r="F41" s="591"/>
      <c r="G41" s="591"/>
      <c r="H41" s="591"/>
      <c r="I41" s="591"/>
      <c r="J41" s="591"/>
      <c r="K41" s="591"/>
      <c r="L41" s="592"/>
      <c r="M41" s="592">
        <f>SUMIF($AA$37:$AA$39,"landbouw",M37:M39)</f>
        <v>0</v>
      </c>
      <c r="N41" s="592">
        <f>SUMIF($AA$37:$AA$39,"landbouw",N37:N39)</f>
        <v>0</v>
      </c>
      <c r="O41" s="592">
        <f>SUMIF($AA$37:$AA$39,"landbouw",O37:O39)</f>
        <v>0</v>
      </c>
      <c r="P41" s="592">
        <f>SUMIF($AA$37:$AA$39,"landbouw",P37:P39)</f>
        <v>0</v>
      </c>
      <c r="Q41" s="592">
        <f>SUMIF($AA$37:$AA$39,"landbouw",Q37:Q39)</f>
        <v>0</v>
      </c>
      <c r="R41" s="592">
        <f>SUMIF($AA$37:$AA$39,"landbouw",R37:R39)</f>
        <v>0</v>
      </c>
      <c r="S41" s="592">
        <f>SUMIF($AA$37:$AA$39,"landbouw",S37:S39)</f>
        <v>0</v>
      </c>
      <c r="T41" s="592">
        <f>SUMIF($AA$37:$AA$39,"landbouw",T37:T39)</f>
        <v>0</v>
      </c>
      <c r="U41" s="592">
        <f>SUMIF($AA$37:$AA$39,"landbouw",U37:U39)</f>
        <v>0</v>
      </c>
      <c r="V41" s="592">
        <f>SUMIF($AA$37:$AA$39,"landbouw",V37:V39)</f>
        <v>0</v>
      </c>
      <c r="W41" s="592">
        <f>SUMIF($AA$37:$AA$39,"landbouw",W37:W39)</f>
        <v>0</v>
      </c>
      <c r="X41" s="592"/>
      <c r="Y41" s="593"/>
      <c r="Z41" s="593"/>
      <c r="AA41" s="594"/>
    </row>
    <row r="42" spans="1:28" s="599" customForma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row>
    <row r="43" spans="1:28" s="599" customFormat="1" ht="15.75" thickBo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row>
    <row r="44" spans="1:28">
      <c r="A44" s="600" t="s">
        <v>271</v>
      </c>
      <c r="B44" s="601"/>
      <c r="C44" s="601"/>
      <c r="D44" s="601"/>
      <c r="E44" s="601"/>
      <c r="F44" s="601"/>
      <c r="G44" s="601"/>
      <c r="H44" s="601"/>
      <c r="I44" s="602"/>
      <c r="J44" s="603"/>
      <c r="K44" s="603"/>
      <c r="L44" s="604"/>
      <c r="M44" s="604"/>
      <c r="N44" s="604"/>
      <c r="O44" s="604"/>
      <c r="P44" s="604"/>
    </row>
    <row r="45" spans="1:28">
      <c r="A45" s="606"/>
      <c r="B45" s="596"/>
      <c r="C45" s="596"/>
      <c r="D45" s="596"/>
      <c r="E45" s="596"/>
      <c r="F45" s="596"/>
      <c r="G45" s="596"/>
      <c r="H45" s="596"/>
      <c r="I45" s="607"/>
      <c r="J45" s="596"/>
      <c r="K45" s="596"/>
      <c r="L45" s="604"/>
      <c r="M45" s="604"/>
      <c r="N45" s="604"/>
      <c r="O45" s="604"/>
      <c r="P45" s="604"/>
    </row>
    <row r="46" spans="1:28">
      <c r="A46" s="608"/>
      <c r="B46" s="609" t="s">
        <v>272</v>
      </c>
      <c r="C46" s="609" t="s">
        <v>273</v>
      </c>
      <c r="D46" s="609"/>
      <c r="E46" s="609"/>
      <c r="F46" s="609"/>
      <c r="G46" s="609"/>
      <c r="H46" s="609"/>
      <c r="I46" s="610"/>
      <c r="J46" s="609"/>
      <c r="K46" s="609"/>
      <c r="L46" s="609"/>
      <c r="M46" s="609"/>
      <c r="N46" s="609"/>
      <c r="O46" s="609"/>
      <c r="P46" s="604"/>
    </row>
    <row r="47" spans="1:28">
      <c r="A47" s="606" t="s">
        <v>269</v>
      </c>
      <c r="B47" s="611">
        <f>IF(ISERROR(O31/(O31+N31)),0,O31/(O31+N31))</f>
        <v>0.58823529411764708</v>
      </c>
      <c r="C47" s="612">
        <f>IF(ISERROR(N31/(O31+N31)),0,N31/(N31+O31))</f>
        <v>0.41176470588235298</v>
      </c>
      <c r="D47" s="579"/>
      <c r="E47" s="579"/>
      <c r="F47" s="579"/>
      <c r="G47" s="579"/>
      <c r="H47" s="579"/>
      <c r="I47" s="613"/>
      <c r="J47" s="579"/>
      <c r="K47" s="579"/>
      <c r="L47" s="614"/>
      <c r="M47" s="614"/>
      <c r="N47" s="614"/>
      <c r="O47" s="614"/>
      <c r="P47" s="604"/>
    </row>
    <row r="48" spans="1:28">
      <c r="A48" s="606"/>
      <c r="B48" s="615"/>
      <c r="C48" s="615"/>
      <c r="D48" s="615"/>
      <c r="E48" s="615"/>
      <c r="F48" s="615"/>
      <c r="G48" s="615"/>
      <c r="H48" s="615"/>
      <c r="I48" s="616"/>
      <c r="J48" s="615"/>
      <c r="K48" s="615"/>
      <c r="L48" s="617"/>
      <c r="M48" s="617"/>
      <c r="N48" s="617"/>
      <c r="O48" s="617"/>
      <c r="P48" s="604"/>
    </row>
    <row r="49" spans="1:16" ht="30">
      <c r="A49" s="618"/>
      <c r="B49" s="619" t="s">
        <v>528</v>
      </c>
      <c r="C49" s="619" t="s">
        <v>96</v>
      </c>
      <c r="D49" s="619" t="s">
        <v>97</v>
      </c>
      <c r="E49" s="619" t="s">
        <v>98</v>
      </c>
      <c r="F49" s="619" t="s">
        <v>99</v>
      </c>
      <c r="G49" s="619" t="s">
        <v>100</v>
      </c>
      <c r="H49" s="619" t="s">
        <v>101</v>
      </c>
      <c r="I49" s="620" t="s">
        <v>102</v>
      </c>
      <c r="J49" s="609"/>
      <c r="K49" s="609"/>
      <c r="L49" s="617"/>
      <c r="M49" s="617"/>
      <c r="N49" s="617"/>
      <c r="O49" s="604"/>
      <c r="P49" s="604"/>
    </row>
    <row r="50" spans="1:16">
      <c r="A50" s="608" t="s">
        <v>274</v>
      </c>
      <c r="B50" s="621">
        <f t="shared" ref="B50:I50" si="2">$C$47*P31</f>
        <v>36381.176470588238</v>
      </c>
      <c r="C50" s="621">
        <f t="shared" si="2"/>
        <v>0</v>
      </c>
      <c r="D50" s="621">
        <f t="shared" si="2"/>
        <v>0</v>
      </c>
      <c r="E50" s="621">
        <f t="shared" si="2"/>
        <v>0</v>
      </c>
      <c r="F50" s="621">
        <f t="shared" si="2"/>
        <v>0</v>
      </c>
      <c r="G50" s="621">
        <f t="shared" si="2"/>
        <v>0</v>
      </c>
      <c r="H50" s="621">
        <f t="shared" si="2"/>
        <v>0</v>
      </c>
      <c r="I50" s="622">
        <f t="shared" si="2"/>
        <v>0</v>
      </c>
      <c r="J50" s="579"/>
      <c r="K50" s="579"/>
      <c r="L50" s="617"/>
      <c r="M50" s="617"/>
      <c r="N50" s="617"/>
      <c r="O50" s="604"/>
      <c r="P50" s="604"/>
    </row>
    <row r="51" spans="1:16" ht="15.75" thickBot="1">
      <c r="A51" s="623" t="s">
        <v>275</v>
      </c>
      <c r="B51" s="624">
        <f t="shared" ref="B51:I51" si="3">$B$47*P31</f>
        <v>51973.10924369748</v>
      </c>
      <c r="C51" s="624">
        <f t="shared" si="3"/>
        <v>0</v>
      </c>
      <c r="D51" s="624">
        <f t="shared" si="3"/>
        <v>0</v>
      </c>
      <c r="E51" s="624">
        <f t="shared" si="3"/>
        <v>0</v>
      </c>
      <c r="F51" s="624">
        <f t="shared" si="3"/>
        <v>0</v>
      </c>
      <c r="G51" s="624">
        <f t="shared" si="3"/>
        <v>0</v>
      </c>
      <c r="H51" s="624">
        <f t="shared" si="3"/>
        <v>0</v>
      </c>
      <c r="I51" s="625">
        <f t="shared" si="3"/>
        <v>0</v>
      </c>
      <c r="J51" s="579"/>
      <c r="K51" s="579"/>
      <c r="L51" s="617"/>
      <c r="M51" s="617"/>
      <c r="N51" s="617"/>
      <c r="O51" s="604"/>
      <c r="P51" s="604"/>
    </row>
    <row r="52" spans="1:16">
      <c r="J52" s="564"/>
      <c r="K52" s="564"/>
      <c r="L52" s="564"/>
      <c r="M52" s="564"/>
      <c r="N52" s="564"/>
    </row>
    <row r="53" spans="1:16">
      <c r="J53" s="564"/>
      <c r="K53" s="564"/>
      <c r="L53" s="564"/>
      <c r="M53" s="564"/>
      <c r="N53"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25701.903361333771</v>
      </c>
      <c r="D10" s="640">
        <f ca="1">tertiair!C16</f>
        <v>32.142857142857146</v>
      </c>
      <c r="E10" s="640">
        <f ca="1">tertiair!D16</f>
        <v>26859.47518191145</v>
      </c>
      <c r="F10" s="640">
        <f>tertiair!E16</f>
        <v>143.8651805984515</v>
      </c>
      <c r="G10" s="640">
        <f ca="1">tertiair!F16</f>
        <v>2982.3656288859438</v>
      </c>
      <c r="H10" s="640">
        <f>tertiair!G16</f>
        <v>0</v>
      </c>
      <c r="I10" s="640">
        <f>tertiair!H16</f>
        <v>0</v>
      </c>
      <c r="J10" s="640">
        <f>tertiair!I16</f>
        <v>0</v>
      </c>
      <c r="K10" s="640">
        <f>tertiair!J16</f>
        <v>21.07188162586365</v>
      </c>
      <c r="L10" s="640">
        <f>tertiair!K16</f>
        <v>0</v>
      </c>
      <c r="M10" s="640">
        <f ca="1">tertiair!L16</f>
        <v>0</v>
      </c>
      <c r="N10" s="640">
        <f>tertiair!M16</f>
        <v>0</v>
      </c>
      <c r="O10" s="640">
        <f ca="1">tertiair!N16</f>
        <v>1983.2622255464375</v>
      </c>
      <c r="P10" s="640">
        <f>tertiair!O16</f>
        <v>0</v>
      </c>
      <c r="Q10" s="641">
        <f>tertiair!P16</f>
        <v>19.066666666666666</v>
      </c>
      <c r="R10" s="643">
        <f ca="1">SUM(C10:Q10)</f>
        <v>57743.152983711443</v>
      </c>
      <c r="S10" s="67"/>
    </row>
    <row r="11" spans="1:19" s="444" customFormat="1">
      <c r="A11" s="754" t="s">
        <v>214</v>
      </c>
      <c r="B11" s="759"/>
      <c r="C11" s="640">
        <f>huishoudens!B8</f>
        <v>33389.494154523331</v>
      </c>
      <c r="D11" s="640">
        <f>huishoudens!C8</f>
        <v>0</v>
      </c>
      <c r="E11" s="640">
        <f>huishoudens!D8</f>
        <v>100492.73790953103</v>
      </c>
      <c r="F11" s="640">
        <f>huishoudens!E8</f>
        <v>1023.2876233341269</v>
      </c>
      <c r="G11" s="640">
        <f>huishoudens!F8</f>
        <v>31359.132983044226</v>
      </c>
      <c r="H11" s="640">
        <f>huishoudens!G8</f>
        <v>0</v>
      </c>
      <c r="I11" s="640">
        <f>huishoudens!H8</f>
        <v>0</v>
      </c>
      <c r="J11" s="640">
        <f>huishoudens!I8</f>
        <v>0</v>
      </c>
      <c r="K11" s="640">
        <f>huishoudens!J8</f>
        <v>593.87953719646043</v>
      </c>
      <c r="L11" s="640">
        <f>huishoudens!K8</f>
        <v>0</v>
      </c>
      <c r="M11" s="640">
        <f>huishoudens!L8</f>
        <v>0</v>
      </c>
      <c r="N11" s="640">
        <f>huishoudens!M8</f>
        <v>0</v>
      </c>
      <c r="O11" s="640">
        <f>huishoudens!N8</f>
        <v>11886.230324842227</v>
      </c>
      <c r="P11" s="640">
        <f>huishoudens!O8</f>
        <v>104.74333333333335</v>
      </c>
      <c r="Q11" s="641">
        <f>huishoudens!P8</f>
        <v>152.53333333333333</v>
      </c>
      <c r="R11" s="643">
        <f>SUM(C11:Q11)</f>
        <v>179002.03919913806</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39904.704023328908</v>
      </c>
      <c r="D13" s="640">
        <f>industrie!C18</f>
        <v>0</v>
      </c>
      <c r="E13" s="640">
        <f>industrie!D18</f>
        <v>12665.454510988842</v>
      </c>
      <c r="F13" s="640">
        <f>industrie!E18</f>
        <v>2710.8167818097781</v>
      </c>
      <c r="G13" s="640">
        <f>industrie!F18</f>
        <v>10383.761031934657</v>
      </c>
      <c r="H13" s="640">
        <f>industrie!G18</f>
        <v>0</v>
      </c>
      <c r="I13" s="640">
        <f>industrie!H18</f>
        <v>0</v>
      </c>
      <c r="J13" s="640">
        <f>industrie!I18</f>
        <v>0</v>
      </c>
      <c r="K13" s="640">
        <f>industrie!J18</f>
        <v>82.406092278459411</v>
      </c>
      <c r="L13" s="640">
        <f>industrie!K18</f>
        <v>0</v>
      </c>
      <c r="M13" s="640">
        <f>industrie!L18</f>
        <v>0</v>
      </c>
      <c r="N13" s="640">
        <f>industrie!M18</f>
        <v>0</v>
      </c>
      <c r="O13" s="640">
        <f>industrie!N18</f>
        <v>1927.1587674925063</v>
      </c>
      <c r="P13" s="640">
        <f>industrie!O18</f>
        <v>0</v>
      </c>
      <c r="Q13" s="641">
        <f>industrie!P18</f>
        <v>0</v>
      </c>
      <c r="R13" s="643">
        <f>SUM(C13:Q13)</f>
        <v>67674.301207833152</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98996.101539185998</v>
      </c>
      <c r="D16" s="675">
        <f t="shared" ref="D16:R16" ca="1" si="0">SUM(D9:D15)</f>
        <v>32.142857142857146</v>
      </c>
      <c r="E16" s="675">
        <f t="shared" ca="1" si="0"/>
        <v>140017.66760243132</v>
      </c>
      <c r="F16" s="675">
        <f t="shared" si="0"/>
        <v>3877.9695857423567</v>
      </c>
      <c r="G16" s="675">
        <f t="shared" ca="1" si="0"/>
        <v>44725.259643864825</v>
      </c>
      <c r="H16" s="675">
        <f t="shared" si="0"/>
        <v>0</v>
      </c>
      <c r="I16" s="675">
        <f t="shared" si="0"/>
        <v>0</v>
      </c>
      <c r="J16" s="675">
        <f t="shared" si="0"/>
        <v>0</v>
      </c>
      <c r="K16" s="675">
        <f t="shared" si="0"/>
        <v>697.35751110078343</v>
      </c>
      <c r="L16" s="675">
        <f t="shared" si="0"/>
        <v>0</v>
      </c>
      <c r="M16" s="675">
        <f t="shared" ca="1" si="0"/>
        <v>0</v>
      </c>
      <c r="N16" s="675">
        <f t="shared" si="0"/>
        <v>0</v>
      </c>
      <c r="O16" s="675">
        <f t="shared" ca="1" si="0"/>
        <v>15796.651317881171</v>
      </c>
      <c r="P16" s="675">
        <f t="shared" si="0"/>
        <v>104.74333333333335</v>
      </c>
      <c r="Q16" s="675">
        <f t="shared" si="0"/>
        <v>171.6</v>
      </c>
      <c r="R16" s="675">
        <f t="shared" ca="1" si="0"/>
        <v>304419.49339068268</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1178.1246053732903</v>
      </c>
      <c r="D19" s="640">
        <f>transport!C54</f>
        <v>0</v>
      </c>
      <c r="E19" s="640">
        <f>transport!D54</f>
        <v>0</v>
      </c>
      <c r="F19" s="640">
        <f>transport!E54</f>
        <v>0</v>
      </c>
      <c r="G19" s="640">
        <f>transport!F54</f>
        <v>0</v>
      </c>
      <c r="H19" s="640">
        <f>transport!G54</f>
        <v>1086.9340358845818</v>
      </c>
      <c r="I19" s="640">
        <f>transport!H54</f>
        <v>0</v>
      </c>
      <c r="J19" s="640">
        <f>transport!I54</f>
        <v>0</v>
      </c>
      <c r="K19" s="640">
        <f>transport!J54</f>
        <v>0</v>
      </c>
      <c r="L19" s="640">
        <f>transport!K54</f>
        <v>0</v>
      </c>
      <c r="M19" s="640">
        <f>transport!L54</f>
        <v>0</v>
      </c>
      <c r="N19" s="640">
        <f>transport!M54</f>
        <v>48.739035482042375</v>
      </c>
      <c r="O19" s="640">
        <f>transport!N54</f>
        <v>0</v>
      </c>
      <c r="P19" s="640">
        <f>transport!O54</f>
        <v>0</v>
      </c>
      <c r="Q19" s="641">
        <f>transport!P54</f>
        <v>0</v>
      </c>
      <c r="R19" s="643">
        <f>SUM(C19:Q19)</f>
        <v>2313.7976767399146</v>
      </c>
      <c r="S19" s="67"/>
    </row>
    <row r="20" spans="1:19" s="444" customFormat="1">
      <c r="A20" s="754" t="s">
        <v>296</v>
      </c>
      <c r="B20" s="759"/>
      <c r="C20" s="640">
        <f>transport!B14</f>
        <v>14.949644366163017</v>
      </c>
      <c r="D20" s="640">
        <f>transport!C14</f>
        <v>0</v>
      </c>
      <c r="E20" s="640">
        <f>transport!D14</f>
        <v>12.664473259929839</v>
      </c>
      <c r="F20" s="640">
        <f>transport!E14</f>
        <v>525.21088569415872</v>
      </c>
      <c r="G20" s="640">
        <f>transport!F14</f>
        <v>0</v>
      </c>
      <c r="H20" s="640">
        <f>transport!G14</f>
        <v>190788.35715261145</v>
      </c>
      <c r="I20" s="640">
        <f>transport!H14</f>
        <v>24060.793340321237</v>
      </c>
      <c r="J20" s="640">
        <f>transport!I14</f>
        <v>0</v>
      </c>
      <c r="K20" s="640">
        <f>transport!J14</f>
        <v>0</v>
      </c>
      <c r="L20" s="640">
        <f>transport!K14</f>
        <v>0</v>
      </c>
      <c r="M20" s="640">
        <f>transport!L14</f>
        <v>0</v>
      </c>
      <c r="N20" s="640">
        <f>transport!M14</f>
        <v>9711.0643481967345</v>
      </c>
      <c r="O20" s="640">
        <f>transport!N14</f>
        <v>0</v>
      </c>
      <c r="P20" s="640">
        <f>transport!O14</f>
        <v>0</v>
      </c>
      <c r="Q20" s="641">
        <f>transport!P14</f>
        <v>0</v>
      </c>
      <c r="R20" s="643">
        <f>SUM(C20:Q20)</f>
        <v>225113.03984444967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1193.0742497394533</v>
      </c>
      <c r="D22" s="757">
        <f t="shared" ref="D22:R22" si="1">SUM(D18:D21)</f>
        <v>0</v>
      </c>
      <c r="E22" s="757">
        <f t="shared" si="1"/>
        <v>12.664473259929839</v>
      </c>
      <c r="F22" s="757">
        <f t="shared" si="1"/>
        <v>525.21088569415872</v>
      </c>
      <c r="G22" s="757">
        <f t="shared" si="1"/>
        <v>0</v>
      </c>
      <c r="H22" s="757">
        <f t="shared" si="1"/>
        <v>191875.29118849605</v>
      </c>
      <c r="I22" s="757">
        <f t="shared" si="1"/>
        <v>24060.793340321237</v>
      </c>
      <c r="J22" s="757">
        <f t="shared" si="1"/>
        <v>0</v>
      </c>
      <c r="K22" s="757">
        <f t="shared" si="1"/>
        <v>0</v>
      </c>
      <c r="L22" s="757">
        <f t="shared" si="1"/>
        <v>0</v>
      </c>
      <c r="M22" s="757">
        <f t="shared" si="1"/>
        <v>0</v>
      </c>
      <c r="N22" s="757">
        <f t="shared" si="1"/>
        <v>9759.8033836787763</v>
      </c>
      <c r="O22" s="757">
        <f t="shared" si="1"/>
        <v>0</v>
      </c>
      <c r="P22" s="757">
        <f t="shared" si="1"/>
        <v>0</v>
      </c>
      <c r="Q22" s="757">
        <f t="shared" si="1"/>
        <v>0</v>
      </c>
      <c r="R22" s="757">
        <f t="shared" si="1"/>
        <v>227426.83752118959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1281.94125966673</v>
      </c>
      <c r="D24" s="640">
        <f>+landbouw!C8</f>
        <v>44145</v>
      </c>
      <c r="E24" s="640">
        <f>+landbouw!D8</f>
        <v>5091.363268354864</v>
      </c>
      <c r="F24" s="640">
        <f>+landbouw!E8</f>
        <v>26.619138694585249</v>
      </c>
      <c r="G24" s="640">
        <f>+landbouw!F8</f>
        <v>4530.4131230588346</v>
      </c>
      <c r="H24" s="640">
        <f>+landbouw!G8</f>
        <v>0</v>
      </c>
      <c r="I24" s="640">
        <f>+landbouw!H8</f>
        <v>0</v>
      </c>
      <c r="J24" s="640">
        <f>+landbouw!I8</f>
        <v>0</v>
      </c>
      <c r="K24" s="640">
        <f>+landbouw!J8</f>
        <v>147.03055442281826</v>
      </c>
      <c r="L24" s="640">
        <f>+landbouw!K8</f>
        <v>0</v>
      </c>
      <c r="M24" s="640">
        <f>+landbouw!L8</f>
        <v>0</v>
      </c>
      <c r="N24" s="640">
        <f>+landbouw!M8</f>
        <v>0</v>
      </c>
      <c r="O24" s="640">
        <f>+landbouw!N8</f>
        <v>0</v>
      </c>
      <c r="P24" s="640">
        <f>+landbouw!O8</f>
        <v>0</v>
      </c>
      <c r="Q24" s="641">
        <f>+landbouw!P8</f>
        <v>0</v>
      </c>
      <c r="R24" s="643">
        <f>SUM(C24:Q24)</f>
        <v>55222.367344197832</v>
      </c>
      <c r="S24" s="67"/>
    </row>
    <row r="25" spans="1:19" s="444" customFormat="1" ht="15" thickBot="1">
      <c r="A25" s="776" t="s">
        <v>806</v>
      </c>
      <c r="B25" s="939"/>
      <c r="C25" s="940">
        <f>IF(Onbekend_ele_kWh="---",0,Onbekend_ele_kWh)/1000+IF(REST_rest_ele_kWh="---",0,REST_rest_ele_kWh)/1000</f>
        <v>1991.7034834870301</v>
      </c>
      <c r="D25" s="940"/>
      <c r="E25" s="940">
        <f>IF(onbekend_gas_kWh="---",0,onbekend_gas_kWh)/1000+IF(REST_rest_gas_kWh="---",0,REST_rest_gas_kWh)/1000</f>
        <v>3308.3427109219201</v>
      </c>
      <c r="F25" s="940"/>
      <c r="G25" s="940"/>
      <c r="H25" s="940"/>
      <c r="I25" s="940"/>
      <c r="J25" s="940"/>
      <c r="K25" s="940"/>
      <c r="L25" s="940"/>
      <c r="M25" s="940"/>
      <c r="N25" s="940"/>
      <c r="O25" s="940"/>
      <c r="P25" s="940"/>
      <c r="Q25" s="941"/>
      <c r="R25" s="643">
        <f>SUM(C25:Q25)</f>
        <v>5300.0461944089502</v>
      </c>
      <c r="S25" s="67"/>
    </row>
    <row r="26" spans="1:19" s="444" customFormat="1" ht="15.75" thickBot="1">
      <c r="A26" s="648" t="s">
        <v>807</v>
      </c>
      <c r="B26" s="762"/>
      <c r="C26" s="757">
        <f>SUM(C24:C25)</f>
        <v>3273.6447431537599</v>
      </c>
      <c r="D26" s="757">
        <f t="shared" ref="D26:R26" si="2">SUM(D24:D25)</f>
        <v>44145</v>
      </c>
      <c r="E26" s="757">
        <f t="shared" si="2"/>
        <v>8399.7059792767832</v>
      </c>
      <c r="F26" s="757">
        <f t="shared" si="2"/>
        <v>26.619138694585249</v>
      </c>
      <c r="G26" s="757">
        <f t="shared" si="2"/>
        <v>4530.4131230588346</v>
      </c>
      <c r="H26" s="757">
        <f t="shared" si="2"/>
        <v>0</v>
      </c>
      <c r="I26" s="757">
        <f t="shared" si="2"/>
        <v>0</v>
      </c>
      <c r="J26" s="757">
        <f t="shared" si="2"/>
        <v>0</v>
      </c>
      <c r="K26" s="757">
        <f t="shared" si="2"/>
        <v>147.03055442281826</v>
      </c>
      <c r="L26" s="757">
        <f t="shared" si="2"/>
        <v>0</v>
      </c>
      <c r="M26" s="757">
        <f t="shared" si="2"/>
        <v>0</v>
      </c>
      <c r="N26" s="757">
        <f t="shared" si="2"/>
        <v>0</v>
      </c>
      <c r="O26" s="757">
        <f t="shared" si="2"/>
        <v>0</v>
      </c>
      <c r="P26" s="757">
        <f t="shared" si="2"/>
        <v>0</v>
      </c>
      <c r="Q26" s="757">
        <f t="shared" si="2"/>
        <v>0</v>
      </c>
      <c r="R26" s="757">
        <f t="shared" si="2"/>
        <v>60522.413538606779</v>
      </c>
      <c r="S26" s="67"/>
    </row>
    <row r="27" spans="1:19" s="444" customFormat="1" ht="17.25" thickTop="1" thickBot="1">
      <c r="A27" s="649" t="s">
        <v>109</v>
      </c>
      <c r="B27" s="749"/>
      <c r="C27" s="650">
        <f ca="1">C22+C16+C26</f>
        <v>103462.8205320792</v>
      </c>
      <c r="D27" s="650">
        <f t="shared" ref="D27:R27" ca="1" si="3">D22+D16+D26</f>
        <v>44177.142857142855</v>
      </c>
      <c r="E27" s="650">
        <f t="shared" ca="1" si="3"/>
        <v>148430.03805496806</v>
      </c>
      <c r="F27" s="650">
        <f t="shared" si="3"/>
        <v>4429.799610131101</v>
      </c>
      <c r="G27" s="650">
        <f t="shared" ca="1" si="3"/>
        <v>49255.672766923657</v>
      </c>
      <c r="H27" s="650">
        <f t="shared" si="3"/>
        <v>191875.29118849605</v>
      </c>
      <c r="I27" s="650">
        <f t="shared" si="3"/>
        <v>24060.793340321237</v>
      </c>
      <c r="J27" s="650">
        <f t="shared" si="3"/>
        <v>0</v>
      </c>
      <c r="K27" s="650">
        <f t="shared" si="3"/>
        <v>844.38806552360165</v>
      </c>
      <c r="L27" s="650">
        <f t="shared" si="3"/>
        <v>0</v>
      </c>
      <c r="M27" s="650">
        <f t="shared" ca="1" si="3"/>
        <v>0</v>
      </c>
      <c r="N27" s="650">
        <f t="shared" si="3"/>
        <v>9759.8033836787763</v>
      </c>
      <c r="O27" s="650">
        <f t="shared" ca="1" si="3"/>
        <v>15796.651317881171</v>
      </c>
      <c r="P27" s="650">
        <f t="shared" si="3"/>
        <v>104.74333333333335</v>
      </c>
      <c r="Q27" s="650">
        <f t="shared" si="3"/>
        <v>171.6</v>
      </c>
      <c r="R27" s="650">
        <f t="shared" ca="1" si="3"/>
        <v>592368.74445047905</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5561.7913857527137</v>
      </c>
      <c r="D40" s="640">
        <f ca="1">tertiair!C20</f>
        <v>7.6386554621848752</v>
      </c>
      <c r="E40" s="640">
        <f ca="1">tertiair!D20</f>
        <v>5425.6139867461134</v>
      </c>
      <c r="F40" s="640">
        <f>tertiair!E20</f>
        <v>32.657395995848489</v>
      </c>
      <c r="G40" s="640">
        <f ca="1">tertiair!F20</f>
        <v>796.29162291254704</v>
      </c>
      <c r="H40" s="640">
        <f>tertiair!G20</f>
        <v>0</v>
      </c>
      <c r="I40" s="640">
        <f>tertiair!H20</f>
        <v>0</v>
      </c>
      <c r="J40" s="640">
        <f>tertiair!I20</f>
        <v>0</v>
      </c>
      <c r="K40" s="640">
        <f>tertiair!J20</f>
        <v>7.459446095555732</v>
      </c>
      <c r="L40" s="640">
        <f>tertiair!K20</f>
        <v>0</v>
      </c>
      <c r="M40" s="640">
        <f ca="1">tertiair!L20</f>
        <v>0</v>
      </c>
      <c r="N40" s="640">
        <f>tertiair!M20</f>
        <v>0</v>
      </c>
      <c r="O40" s="640">
        <f ca="1">tertiair!N20</f>
        <v>0</v>
      </c>
      <c r="P40" s="640">
        <f>tertiair!O20</f>
        <v>0</v>
      </c>
      <c r="Q40" s="717">
        <f>tertiair!P20</f>
        <v>0</v>
      </c>
      <c r="R40" s="795">
        <f t="shared" ca="1" si="4"/>
        <v>11831.452492964963</v>
      </c>
    </row>
    <row r="41" spans="1:18">
      <c r="A41" s="767" t="s">
        <v>214</v>
      </c>
      <c r="B41" s="774"/>
      <c r="C41" s="640">
        <f ca="1">huishoudens!B12</f>
        <v>7225.3559727660368</v>
      </c>
      <c r="D41" s="640">
        <f ca="1">huishoudens!C12</f>
        <v>0</v>
      </c>
      <c r="E41" s="640">
        <f>huishoudens!D12</f>
        <v>20299.533057725268</v>
      </c>
      <c r="F41" s="640">
        <f>huishoudens!E12</f>
        <v>232.28629049684682</v>
      </c>
      <c r="G41" s="640">
        <f>huishoudens!F12</f>
        <v>8372.8885064728092</v>
      </c>
      <c r="H41" s="640">
        <f>huishoudens!G12</f>
        <v>0</v>
      </c>
      <c r="I41" s="640">
        <f>huishoudens!H12</f>
        <v>0</v>
      </c>
      <c r="J41" s="640">
        <f>huishoudens!I12</f>
        <v>0</v>
      </c>
      <c r="K41" s="640">
        <f>huishoudens!J12</f>
        <v>210.23335616754699</v>
      </c>
      <c r="L41" s="640">
        <f>huishoudens!K12</f>
        <v>0</v>
      </c>
      <c r="M41" s="640">
        <f>huishoudens!L12</f>
        <v>0</v>
      </c>
      <c r="N41" s="640">
        <f>huishoudens!M12</f>
        <v>0</v>
      </c>
      <c r="O41" s="640">
        <f>huishoudens!N12</f>
        <v>0</v>
      </c>
      <c r="P41" s="640">
        <f>huishoudens!O12</f>
        <v>0</v>
      </c>
      <c r="Q41" s="717">
        <f>huishoudens!P12</f>
        <v>0</v>
      </c>
      <c r="R41" s="795">
        <f t="shared" ca="1" si="4"/>
        <v>36340.297183628507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8635.2219120804039</v>
      </c>
      <c r="D43" s="640">
        <f ca="1">industrie!C22</f>
        <v>0</v>
      </c>
      <c r="E43" s="640">
        <f>industrie!D22</f>
        <v>2558.4218112197464</v>
      </c>
      <c r="F43" s="640">
        <f>industrie!E22</f>
        <v>615.35540947081961</v>
      </c>
      <c r="G43" s="640">
        <f>industrie!F22</f>
        <v>2772.4641955265533</v>
      </c>
      <c r="H43" s="640">
        <f>industrie!G22</f>
        <v>0</v>
      </c>
      <c r="I43" s="640">
        <f>industrie!H22</f>
        <v>0</v>
      </c>
      <c r="J43" s="640">
        <f>industrie!I22</f>
        <v>0</v>
      </c>
      <c r="K43" s="640">
        <f>industrie!J22</f>
        <v>29.17175666657463</v>
      </c>
      <c r="L43" s="640">
        <f>industrie!K22</f>
        <v>0</v>
      </c>
      <c r="M43" s="640">
        <f>industrie!L22</f>
        <v>0</v>
      </c>
      <c r="N43" s="640">
        <f>industrie!M22</f>
        <v>0</v>
      </c>
      <c r="O43" s="640">
        <f>industrie!N22</f>
        <v>0</v>
      </c>
      <c r="P43" s="640">
        <f>industrie!O22</f>
        <v>0</v>
      </c>
      <c r="Q43" s="717">
        <f>industrie!P22</f>
        <v>0</v>
      </c>
      <c r="R43" s="794">
        <f t="shared" ca="1" si="4"/>
        <v>14610.635084964097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21422.369270599156</v>
      </c>
      <c r="D46" s="675">
        <f t="shared" ref="D46:Q46" ca="1" si="5">SUM(D39:D45)</f>
        <v>7.6386554621848752</v>
      </c>
      <c r="E46" s="675">
        <f t="shared" ca="1" si="5"/>
        <v>28283.568855691126</v>
      </c>
      <c r="F46" s="675">
        <f t="shared" si="5"/>
        <v>880.2990959635149</v>
      </c>
      <c r="G46" s="675">
        <f t="shared" ca="1" si="5"/>
        <v>11941.644324911911</v>
      </c>
      <c r="H46" s="675">
        <f t="shared" si="5"/>
        <v>0</v>
      </c>
      <c r="I46" s="675">
        <f t="shared" si="5"/>
        <v>0</v>
      </c>
      <c r="J46" s="675">
        <f t="shared" si="5"/>
        <v>0</v>
      </c>
      <c r="K46" s="675">
        <f t="shared" si="5"/>
        <v>246.86455892967734</v>
      </c>
      <c r="L46" s="675">
        <f t="shared" si="5"/>
        <v>0</v>
      </c>
      <c r="M46" s="675">
        <f t="shared" ca="1" si="5"/>
        <v>0</v>
      </c>
      <c r="N46" s="675">
        <f t="shared" si="5"/>
        <v>0</v>
      </c>
      <c r="O46" s="675">
        <f t="shared" ca="1" si="5"/>
        <v>0</v>
      </c>
      <c r="P46" s="675">
        <f t="shared" si="5"/>
        <v>0</v>
      </c>
      <c r="Q46" s="675">
        <f t="shared" si="5"/>
        <v>0</v>
      </c>
      <c r="R46" s="675">
        <f ca="1">SUM(R39:R45)</f>
        <v>62782.384761557565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254.94155780564134</v>
      </c>
      <c r="D49" s="640">
        <f ca="1">transport!C58</f>
        <v>0</v>
      </c>
      <c r="E49" s="640">
        <f>transport!D58</f>
        <v>0</v>
      </c>
      <c r="F49" s="640">
        <f>transport!E58</f>
        <v>0</v>
      </c>
      <c r="G49" s="640">
        <f>transport!F58</f>
        <v>0</v>
      </c>
      <c r="H49" s="640">
        <f>transport!G58</f>
        <v>290.21138758118337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545.15294538682474</v>
      </c>
    </row>
    <row r="50" spans="1:18">
      <c r="A50" s="770" t="s">
        <v>296</v>
      </c>
      <c r="B50" s="780"/>
      <c r="C50" s="646">
        <f ca="1">transport!B18</f>
        <v>3.2350445835415842</v>
      </c>
      <c r="D50" s="646">
        <f>transport!C18</f>
        <v>0</v>
      </c>
      <c r="E50" s="646">
        <f>transport!D18</f>
        <v>2.5582235985058275</v>
      </c>
      <c r="F50" s="646">
        <f>transport!E18</f>
        <v>119.22287105257404</v>
      </c>
      <c r="G50" s="646">
        <f>transport!F18</f>
        <v>0</v>
      </c>
      <c r="H50" s="646">
        <f>transport!G18</f>
        <v>50940.491359747262</v>
      </c>
      <c r="I50" s="646">
        <f>transport!H18</f>
        <v>5991.1375417399877</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57056.645040721873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258.1766023891829</v>
      </c>
      <c r="D52" s="675">
        <f t="shared" ref="D52:Q52" ca="1" si="6">SUM(D48:D51)</f>
        <v>0</v>
      </c>
      <c r="E52" s="675">
        <f t="shared" si="6"/>
        <v>2.5582235985058275</v>
      </c>
      <c r="F52" s="675">
        <f t="shared" si="6"/>
        <v>119.22287105257404</v>
      </c>
      <c r="G52" s="675">
        <f t="shared" si="6"/>
        <v>0</v>
      </c>
      <c r="H52" s="675">
        <f t="shared" si="6"/>
        <v>51230.702747328447</v>
      </c>
      <c r="I52" s="675">
        <f t="shared" si="6"/>
        <v>5991.1375417399877</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57601.797986108701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277.40707584254977</v>
      </c>
      <c r="D54" s="646">
        <f ca="1">+landbouw!C12</f>
        <v>10490.929411764706</v>
      </c>
      <c r="E54" s="646">
        <f>+landbouw!D12</f>
        <v>1028.4553802076825</v>
      </c>
      <c r="F54" s="646">
        <f>+landbouw!E12</f>
        <v>6.0425444836708522</v>
      </c>
      <c r="G54" s="646">
        <f>+landbouw!F12</f>
        <v>1209.6203038567089</v>
      </c>
      <c r="H54" s="646">
        <f>+landbouw!G12</f>
        <v>0</v>
      </c>
      <c r="I54" s="646">
        <f>+landbouw!H12</f>
        <v>0</v>
      </c>
      <c r="J54" s="646">
        <f>+landbouw!I12</f>
        <v>0</v>
      </c>
      <c r="K54" s="646">
        <f>+landbouw!J12</f>
        <v>52.048816265677658</v>
      </c>
      <c r="L54" s="646">
        <f>+landbouw!K12</f>
        <v>0</v>
      </c>
      <c r="M54" s="646">
        <f>+landbouw!L12</f>
        <v>0</v>
      </c>
      <c r="N54" s="646">
        <f>+landbouw!M12</f>
        <v>0</v>
      </c>
      <c r="O54" s="646">
        <f>+landbouw!N12</f>
        <v>0</v>
      </c>
      <c r="P54" s="646">
        <f>+landbouw!O12</f>
        <v>0</v>
      </c>
      <c r="Q54" s="647">
        <f>+landbouw!P12</f>
        <v>0</v>
      </c>
      <c r="R54" s="674">
        <f ca="1">SUM(C54:Q54)</f>
        <v>13064.503532420997</v>
      </c>
    </row>
    <row r="55" spans="1:18" ht="15" thickBot="1">
      <c r="A55" s="770" t="s">
        <v>806</v>
      </c>
      <c r="B55" s="780"/>
      <c r="C55" s="646">
        <f ca="1">C25*'EF ele_warmte'!B12</f>
        <v>430.99684570819994</v>
      </c>
      <c r="D55" s="646"/>
      <c r="E55" s="646">
        <f>E25*EF_CO2_aardgas</f>
        <v>668.28522760622786</v>
      </c>
      <c r="F55" s="646"/>
      <c r="G55" s="646"/>
      <c r="H55" s="646"/>
      <c r="I55" s="646"/>
      <c r="J55" s="646"/>
      <c r="K55" s="646"/>
      <c r="L55" s="646"/>
      <c r="M55" s="646"/>
      <c r="N55" s="646"/>
      <c r="O55" s="646"/>
      <c r="P55" s="646"/>
      <c r="Q55" s="647"/>
      <c r="R55" s="674">
        <f ca="1">SUM(C55:Q55)</f>
        <v>1099.2820733144279</v>
      </c>
    </row>
    <row r="56" spans="1:18" ht="15.75" thickBot="1">
      <c r="A56" s="768" t="s">
        <v>807</v>
      </c>
      <c r="B56" s="781"/>
      <c r="C56" s="675">
        <f ca="1">SUM(C54:C55)</f>
        <v>708.40392155074971</v>
      </c>
      <c r="D56" s="675">
        <f t="shared" ref="D56:Q56" ca="1" si="7">SUM(D54:D55)</f>
        <v>10490.929411764706</v>
      </c>
      <c r="E56" s="675">
        <f t="shared" si="7"/>
        <v>1696.7406078139104</v>
      </c>
      <c r="F56" s="675">
        <f t="shared" si="7"/>
        <v>6.0425444836708522</v>
      </c>
      <c r="G56" s="675">
        <f t="shared" si="7"/>
        <v>1209.6203038567089</v>
      </c>
      <c r="H56" s="675">
        <f t="shared" si="7"/>
        <v>0</v>
      </c>
      <c r="I56" s="675">
        <f t="shared" si="7"/>
        <v>0</v>
      </c>
      <c r="J56" s="675">
        <f t="shared" si="7"/>
        <v>0</v>
      </c>
      <c r="K56" s="675">
        <f t="shared" si="7"/>
        <v>52.048816265677658</v>
      </c>
      <c r="L56" s="675">
        <f t="shared" si="7"/>
        <v>0</v>
      </c>
      <c r="M56" s="675">
        <f t="shared" si="7"/>
        <v>0</v>
      </c>
      <c r="N56" s="675">
        <f t="shared" si="7"/>
        <v>0</v>
      </c>
      <c r="O56" s="675">
        <f t="shared" si="7"/>
        <v>0</v>
      </c>
      <c r="P56" s="675">
        <f t="shared" si="7"/>
        <v>0</v>
      </c>
      <c r="Q56" s="676">
        <f t="shared" si="7"/>
        <v>0</v>
      </c>
      <c r="R56" s="677">
        <f ca="1">SUM(R54:R55)</f>
        <v>14163.785605735424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22388.94979453909</v>
      </c>
      <c r="D61" s="683">
        <f t="shared" ref="D61:Q61" ca="1" si="8">D46+D52+D56</f>
        <v>10498.56806722689</v>
      </c>
      <c r="E61" s="683">
        <f t="shared" ca="1" si="8"/>
        <v>29982.867687103542</v>
      </c>
      <c r="F61" s="683">
        <f t="shared" si="8"/>
        <v>1005.5645114997599</v>
      </c>
      <c r="G61" s="683">
        <f t="shared" ca="1" si="8"/>
        <v>13151.26462876862</v>
      </c>
      <c r="H61" s="683">
        <f t="shared" si="8"/>
        <v>51230.702747328447</v>
      </c>
      <c r="I61" s="683">
        <f t="shared" si="8"/>
        <v>5991.1375417399877</v>
      </c>
      <c r="J61" s="683">
        <f t="shared" si="8"/>
        <v>0</v>
      </c>
      <c r="K61" s="683">
        <f t="shared" si="8"/>
        <v>298.913375195355</v>
      </c>
      <c r="L61" s="683">
        <f t="shared" si="8"/>
        <v>0</v>
      </c>
      <c r="M61" s="683">
        <f t="shared" ca="1" si="8"/>
        <v>0</v>
      </c>
      <c r="N61" s="683">
        <f t="shared" si="8"/>
        <v>0</v>
      </c>
      <c r="O61" s="683">
        <f t="shared" ca="1" si="8"/>
        <v>0</v>
      </c>
      <c r="P61" s="683">
        <f t="shared" si="8"/>
        <v>0</v>
      </c>
      <c r="Q61" s="683">
        <f t="shared" si="8"/>
        <v>0</v>
      </c>
      <c r="R61" s="683">
        <f ca="1">R46+R52+R56</f>
        <v>134547.96835340169</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0.21639608971995186</v>
      </c>
      <c r="D63" s="726">
        <f t="shared" ca="1" si="9"/>
        <v>0.23764705882352941</v>
      </c>
      <c r="E63" s="946">
        <f t="shared" ca="1" si="9"/>
        <v>0.20199999999999996</v>
      </c>
      <c r="F63" s="726">
        <f t="shared" si="9"/>
        <v>0.22699999999999998</v>
      </c>
      <c r="G63" s="726">
        <f t="shared" ca="1" si="9"/>
        <v>0.26700000000000007</v>
      </c>
      <c r="H63" s="726">
        <f t="shared" si="9"/>
        <v>0.26700000000000002</v>
      </c>
      <c r="I63" s="726">
        <f t="shared" si="9"/>
        <v>0.24899999999999997</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4484.7384167839273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30924</v>
      </c>
      <c r="D76" s="956">
        <f>'lokale energieproductie'!C8</f>
        <v>36381.176470588238</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7348.9976470588244</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4484.7384167839273</v>
      </c>
      <c r="C78" s="698">
        <f>SUM(C72:C77)</f>
        <v>30924</v>
      </c>
      <c r="D78" s="699">
        <f t="shared" ref="D78:H78" si="10">SUM(D76:D77)</f>
        <v>36381.176470588238</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7348.9976470588244</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44177.142857142855</v>
      </c>
      <c r="D87" s="720">
        <f>'lokale energieproductie'!C17</f>
        <v>51973.10924369748</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10498.568067226892</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44177.142857142855</v>
      </c>
      <c r="D90" s="698">
        <f t="shared" ref="D90:H90" si="12">SUM(D87:D89)</f>
        <v>51973.10924369748</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10498.568067226892</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33389.494154523331</v>
      </c>
      <c r="C4" s="448">
        <f>huishoudens!C8</f>
        <v>0</v>
      </c>
      <c r="D4" s="448">
        <f>huishoudens!D8</f>
        <v>100492.73790953103</v>
      </c>
      <c r="E4" s="448">
        <f>huishoudens!E8</f>
        <v>1023.2876233341269</v>
      </c>
      <c r="F4" s="448">
        <f>huishoudens!F8</f>
        <v>31359.132983044226</v>
      </c>
      <c r="G4" s="448">
        <f>huishoudens!G8</f>
        <v>0</v>
      </c>
      <c r="H4" s="448">
        <f>huishoudens!H8</f>
        <v>0</v>
      </c>
      <c r="I4" s="448">
        <f>huishoudens!I8</f>
        <v>0</v>
      </c>
      <c r="J4" s="448">
        <f>huishoudens!J8</f>
        <v>593.87953719646043</v>
      </c>
      <c r="K4" s="448">
        <f>huishoudens!K8</f>
        <v>0</v>
      </c>
      <c r="L4" s="448">
        <f>huishoudens!L8</f>
        <v>0</v>
      </c>
      <c r="M4" s="448">
        <f>huishoudens!M8</f>
        <v>0</v>
      </c>
      <c r="N4" s="448">
        <f>huishoudens!N8</f>
        <v>11886.230324842227</v>
      </c>
      <c r="O4" s="448">
        <f>huishoudens!O8</f>
        <v>104.74333333333335</v>
      </c>
      <c r="P4" s="449">
        <f>huishoudens!P8</f>
        <v>152.53333333333333</v>
      </c>
      <c r="Q4" s="450">
        <f>SUM(B4:P4)</f>
        <v>179002.03919913806</v>
      </c>
    </row>
    <row r="5" spans="1:17">
      <c r="A5" s="447" t="s">
        <v>149</v>
      </c>
      <c r="B5" s="448">
        <f ca="1">tertiair!B16</f>
        <v>24422.504236894481</v>
      </c>
      <c r="C5" s="448">
        <f ca="1">tertiair!C16</f>
        <v>32.142857142857146</v>
      </c>
      <c r="D5" s="448">
        <f ca="1">tertiair!D16</f>
        <v>26859.47518191145</v>
      </c>
      <c r="E5" s="448">
        <f>tertiair!E16</f>
        <v>143.8651805984515</v>
      </c>
      <c r="F5" s="448">
        <f ca="1">tertiair!F16</f>
        <v>2982.3656288859438</v>
      </c>
      <c r="G5" s="448">
        <f>tertiair!G16</f>
        <v>0</v>
      </c>
      <c r="H5" s="448">
        <f>tertiair!H16</f>
        <v>0</v>
      </c>
      <c r="I5" s="448">
        <f>tertiair!I16</f>
        <v>0</v>
      </c>
      <c r="J5" s="448">
        <f>tertiair!J16</f>
        <v>21.07188162586365</v>
      </c>
      <c r="K5" s="448">
        <f>tertiair!K16</f>
        <v>0</v>
      </c>
      <c r="L5" s="448">
        <f ca="1">tertiair!L16</f>
        <v>0</v>
      </c>
      <c r="M5" s="448">
        <f>tertiair!M16</f>
        <v>0</v>
      </c>
      <c r="N5" s="448">
        <f ca="1">tertiair!N16</f>
        <v>1983.2622255464375</v>
      </c>
      <c r="O5" s="448">
        <f>tertiair!O16</f>
        <v>0</v>
      </c>
      <c r="P5" s="449">
        <f>tertiair!P16</f>
        <v>19.066666666666666</v>
      </c>
      <c r="Q5" s="447">
        <f t="shared" ref="Q5:Q14" ca="1" si="0">SUM(B5:P5)</f>
        <v>56463.753859272147</v>
      </c>
    </row>
    <row r="6" spans="1:17">
      <c r="A6" s="447" t="s">
        <v>187</v>
      </c>
      <c r="B6" s="448">
        <f>'openbare verlichting'!B8</f>
        <v>1279.3991244392901</v>
      </c>
      <c r="C6" s="448"/>
      <c r="D6" s="448"/>
      <c r="E6" s="448"/>
      <c r="F6" s="448"/>
      <c r="G6" s="448"/>
      <c r="H6" s="448"/>
      <c r="I6" s="448"/>
      <c r="J6" s="448"/>
      <c r="K6" s="448"/>
      <c r="L6" s="448"/>
      <c r="M6" s="448"/>
      <c r="N6" s="448"/>
      <c r="O6" s="448"/>
      <c r="P6" s="449"/>
      <c r="Q6" s="447">
        <f t="shared" si="0"/>
        <v>1279.3991244392901</v>
      </c>
    </row>
    <row r="7" spans="1:17">
      <c r="A7" s="447" t="s">
        <v>105</v>
      </c>
      <c r="B7" s="448">
        <f>landbouw!B8</f>
        <v>1281.94125966673</v>
      </c>
      <c r="C7" s="448">
        <f>landbouw!C8</f>
        <v>44145</v>
      </c>
      <c r="D7" s="448">
        <f>landbouw!D8</f>
        <v>5091.363268354864</v>
      </c>
      <c r="E7" s="448">
        <f>landbouw!E8</f>
        <v>26.619138694585249</v>
      </c>
      <c r="F7" s="448">
        <f>landbouw!F8</f>
        <v>4530.4131230588346</v>
      </c>
      <c r="G7" s="448">
        <f>landbouw!G8</f>
        <v>0</v>
      </c>
      <c r="H7" s="448">
        <f>landbouw!H8</f>
        <v>0</v>
      </c>
      <c r="I7" s="448">
        <f>landbouw!I8</f>
        <v>0</v>
      </c>
      <c r="J7" s="448">
        <f>landbouw!J8</f>
        <v>147.03055442281826</v>
      </c>
      <c r="K7" s="448">
        <f>landbouw!K8</f>
        <v>0</v>
      </c>
      <c r="L7" s="448">
        <f>landbouw!L8</f>
        <v>0</v>
      </c>
      <c r="M7" s="448">
        <f>landbouw!M8</f>
        <v>0</v>
      </c>
      <c r="N7" s="448">
        <f>landbouw!N8</f>
        <v>0</v>
      </c>
      <c r="O7" s="448">
        <f>landbouw!O8</f>
        <v>0</v>
      </c>
      <c r="P7" s="449">
        <f>landbouw!P8</f>
        <v>0</v>
      </c>
      <c r="Q7" s="447">
        <f t="shared" si="0"/>
        <v>55222.367344197832</v>
      </c>
    </row>
    <row r="8" spans="1:17">
      <c r="A8" s="447" t="s">
        <v>614</v>
      </c>
      <c r="B8" s="448">
        <f>industrie!B18</f>
        <v>39904.704023328908</v>
      </c>
      <c r="C8" s="448">
        <f>industrie!C18</f>
        <v>0</v>
      </c>
      <c r="D8" s="448">
        <f>industrie!D18</f>
        <v>12665.454510988842</v>
      </c>
      <c r="E8" s="448">
        <f>industrie!E18</f>
        <v>2710.8167818097781</v>
      </c>
      <c r="F8" s="448">
        <f>industrie!F18</f>
        <v>10383.761031934657</v>
      </c>
      <c r="G8" s="448">
        <f>industrie!G18</f>
        <v>0</v>
      </c>
      <c r="H8" s="448">
        <f>industrie!H18</f>
        <v>0</v>
      </c>
      <c r="I8" s="448">
        <f>industrie!I18</f>
        <v>0</v>
      </c>
      <c r="J8" s="448">
        <f>industrie!J18</f>
        <v>82.406092278459411</v>
      </c>
      <c r="K8" s="448">
        <f>industrie!K18</f>
        <v>0</v>
      </c>
      <c r="L8" s="448">
        <f>industrie!L18</f>
        <v>0</v>
      </c>
      <c r="M8" s="448">
        <f>industrie!M18</f>
        <v>0</v>
      </c>
      <c r="N8" s="448">
        <f>industrie!N18</f>
        <v>1927.1587674925063</v>
      </c>
      <c r="O8" s="448">
        <f>industrie!O18</f>
        <v>0</v>
      </c>
      <c r="P8" s="449">
        <f>industrie!P18</f>
        <v>0</v>
      </c>
      <c r="Q8" s="447">
        <f t="shared" si="0"/>
        <v>67674.301207833152</v>
      </c>
    </row>
    <row r="9" spans="1:17" s="453" customFormat="1">
      <c r="A9" s="451" t="s">
        <v>555</v>
      </c>
      <c r="B9" s="452">
        <f>transport!B14</f>
        <v>14.949644366163017</v>
      </c>
      <c r="C9" s="452">
        <f>transport!C14</f>
        <v>0</v>
      </c>
      <c r="D9" s="452">
        <f>transport!D14</f>
        <v>12.664473259929839</v>
      </c>
      <c r="E9" s="452">
        <f>transport!E14</f>
        <v>525.21088569415872</v>
      </c>
      <c r="F9" s="452">
        <f>transport!F14</f>
        <v>0</v>
      </c>
      <c r="G9" s="452">
        <f>transport!G14</f>
        <v>190788.35715261145</v>
      </c>
      <c r="H9" s="452">
        <f>transport!H14</f>
        <v>24060.793340321237</v>
      </c>
      <c r="I9" s="452">
        <f>transport!I14</f>
        <v>0</v>
      </c>
      <c r="J9" s="452">
        <f>transport!J14</f>
        <v>0</v>
      </c>
      <c r="K9" s="452">
        <f>transport!K14</f>
        <v>0</v>
      </c>
      <c r="L9" s="452">
        <f>transport!L14</f>
        <v>0</v>
      </c>
      <c r="M9" s="452">
        <f>transport!M14</f>
        <v>9711.0643481967345</v>
      </c>
      <c r="N9" s="452">
        <f>transport!N14</f>
        <v>0</v>
      </c>
      <c r="O9" s="452">
        <f>transport!O14</f>
        <v>0</v>
      </c>
      <c r="P9" s="452">
        <f>transport!P14</f>
        <v>0</v>
      </c>
      <c r="Q9" s="451">
        <f>SUM(B9:P9)</f>
        <v>225113.03984444967</v>
      </c>
    </row>
    <row r="10" spans="1:17">
      <c r="A10" s="447" t="s">
        <v>545</v>
      </c>
      <c r="B10" s="448">
        <f>transport!B54</f>
        <v>1178.1246053732903</v>
      </c>
      <c r="C10" s="448">
        <f>transport!C54</f>
        <v>0</v>
      </c>
      <c r="D10" s="448">
        <f>transport!D54</f>
        <v>0</v>
      </c>
      <c r="E10" s="448">
        <f>transport!E54</f>
        <v>0</v>
      </c>
      <c r="F10" s="448">
        <f>transport!F54</f>
        <v>0</v>
      </c>
      <c r="G10" s="448">
        <f>transport!G54</f>
        <v>1086.9340358845818</v>
      </c>
      <c r="H10" s="448">
        <f>transport!H54</f>
        <v>0</v>
      </c>
      <c r="I10" s="448">
        <f>transport!I54</f>
        <v>0</v>
      </c>
      <c r="J10" s="448">
        <f>transport!J54</f>
        <v>0</v>
      </c>
      <c r="K10" s="448">
        <f>transport!K54</f>
        <v>0</v>
      </c>
      <c r="L10" s="448">
        <f>transport!L54</f>
        <v>0</v>
      </c>
      <c r="M10" s="448">
        <f>transport!M54</f>
        <v>48.739035482042375</v>
      </c>
      <c r="N10" s="448">
        <f>transport!N54</f>
        <v>0</v>
      </c>
      <c r="O10" s="448">
        <f>transport!O54</f>
        <v>0</v>
      </c>
      <c r="P10" s="449">
        <f>transport!P54</f>
        <v>0</v>
      </c>
      <c r="Q10" s="447">
        <f t="shared" si="0"/>
        <v>2313.7976767399146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1991.7034834870301</v>
      </c>
      <c r="C14" s="455"/>
      <c r="D14" s="455">
        <f>'SEAP template'!E25</f>
        <v>3308.3427109219201</v>
      </c>
      <c r="E14" s="455"/>
      <c r="F14" s="455"/>
      <c r="G14" s="455"/>
      <c r="H14" s="455"/>
      <c r="I14" s="455"/>
      <c r="J14" s="455"/>
      <c r="K14" s="455"/>
      <c r="L14" s="455"/>
      <c r="M14" s="455"/>
      <c r="N14" s="455"/>
      <c r="O14" s="455"/>
      <c r="P14" s="456"/>
      <c r="Q14" s="447">
        <f t="shared" si="0"/>
        <v>5300.0461944089502</v>
      </c>
    </row>
    <row r="15" spans="1:17" s="460" customFormat="1">
      <c r="A15" s="457" t="s">
        <v>549</v>
      </c>
      <c r="B15" s="458">
        <f ca="1">SUM(B4:B14)</f>
        <v>103462.82053207923</v>
      </c>
      <c r="C15" s="458">
        <f t="shared" ref="C15:Q15" ca="1" si="1">SUM(C4:C14)</f>
        <v>44177.142857142855</v>
      </c>
      <c r="D15" s="458">
        <f t="shared" ca="1" si="1"/>
        <v>148430.03805496803</v>
      </c>
      <c r="E15" s="458">
        <f t="shared" si="1"/>
        <v>4429.799610131101</v>
      </c>
      <c r="F15" s="458">
        <f t="shared" ca="1" si="1"/>
        <v>49255.672766923657</v>
      </c>
      <c r="G15" s="458">
        <f t="shared" si="1"/>
        <v>191875.29118849605</v>
      </c>
      <c r="H15" s="458">
        <f t="shared" si="1"/>
        <v>24060.793340321237</v>
      </c>
      <c r="I15" s="458">
        <f t="shared" si="1"/>
        <v>0</v>
      </c>
      <c r="J15" s="458">
        <f t="shared" si="1"/>
        <v>844.38806552360165</v>
      </c>
      <c r="K15" s="458">
        <f t="shared" si="1"/>
        <v>0</v>
      </c>
      <c r="L15" s="458">
        <f t="shared" ca="1" si="1"/>
        <v>0</v>
      </c>
      <c r="M15" s="458">
        <f t="shared" si="1"/>
        <v>9759.8033836787763</v>
      </c>
      <c r="N15" s="458">
        <f t="shared" ca="1" si="1"/>
        <v>15796.651317881171</v>
      </c>
      <c r="O15" s="458">
        <f t="shared" si="1"/>
        <v>104.74333333333335</v>
      </c>
      <c r="P15" s="458">
        <f t="shared" si="1"/>
        <v>171.6</v>
      </c>
      <c r="Q15" s="458">
        <f t="shared" ca="1" si="1"/>
        <v>592368.74445047893</v>
      </c>
    </row>
    <row r="17" spans="1:17">
      <c r="A17" s="461" t="s">
        <v>550</v>
      </c>
      <c r="B17" s="731">
        <f ca="1">huishoudens!B10</f>
        <v>0.21639608971995181</v>
      </c>
      <c r="C17" s="731">
        <f ca="1">huishoudens!C10</f>
        <v>0.23764705882352943</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7225.3559727660368</v>
      </c>
      <c r="C22" s="448">
        <f t="shared" ref="C22:C32" ca="1" si="3">C4*$C$17</f>
        <v>0</v>
      </c>
      <c r="D22" s="448">
        <f t="shared" ref="D22:D32" si="4">D4*$D$17</f>
        <v>20299.533057725268</v>
      </c>
      <c r="E22" s="448">
        <f t="shared" ref="E22:E32" si="5">E4*$E$17</f>
        <v>232.28629049684682</v>
      </c>
      <c r="F22" s="448">
        <f t="shared" ref="F22:F32" si="6">F4*$F$17</f>
        <v>8372.8885064728092</v>
      </c>
      <c r="G22" s="448">
        <f t="shared" ref="G22:G32" si="7">G4*$G$17</f>
        <v>0</v>
      </c>
      <c r="H22" s="448">
        <f t="shared" ref="H22:H32" si="8">H4*$H$17</f>
        <v>0</v>
      </c>
      <c r="I22" s="448">
        <f t="shared" ref="I22:I32" si="9">I4*$I$17</f>
        <v>0</v>
      </c>
      <c r="J22" s="448">
        <f t="shared" ref="J22:J32" si="10">J4*$J$17</f>
        <v>210.23335616754699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36340.297183628507</v>
      </c>
    </row>
    <row r="23" spans="1:17">
      <c r="A23" s="447" t="s">
        <v>149</v>
      </c>
      <c r="B23" s="448">
        <f t="shared" ca="1" si="2"/>
        <v>5284.9344180329217</v>
      </c>
      <c r="C23" s="448">
        <f t="shared" ca="1" si="3"/>
        <v>7.6386554621848752</v>
      </c>
      <c r="D23" s="448">
        <f t="shared" ca="1" si="4"/>
        <v>5425.6139867461134</v>
      </c>
      <c r="E23" s="448">
        <f t="shared" si="5"/>
        <v>32.657395995848489</v>
      </c>
      <c r="F23" s="448">
        <f t="shared" ca="1" si="6"/>
        <v>796.29162291254704</v>
      </c>
      <c r="G23" s="448">
        <f t="shared" si="7"/>
        <v>0</v>
      </c>
      <c r="H23" s="448">
        <f t="shared" si="8"/>
        <v>0</v>
      </c>
      <c r="I23" s="448">
        <f t="shared" si="9"/>
        <v>0</v>
      </c>
      <c r="J23" s="448">
        <f t="shared" si="10"/>
        <v>7.459446095555732</v>
      </c>
      <c r="K23" s="448">
        <f t="shared" si="11"/>
        <v>0</v>
      </c>
      <c r="L23" s="448">
        <f t="shared" ca="1" si="12"/>
        <v>0</v>
      </c>
      <c r="M23" s="448">
        <f t="shared" si="13"/>
        <v>0</v>
      </c>
      <c r="N23" s="448">
        <f t="shared" ca="1" si="14"/>
        <v>0</v>
      </c>
      <c r="O23" s="448">
        <f t="shared" si="15"/>
        <v>0</v>
      </c>
      <c r="P23" s="449">
        <f t="shared" si="16"/>
        <v>0</v>
      </c>
      <c r="Q23" s="447">
        <f t="shared" ref="Q23:Q32" ca="1" si="17">SUM(B23:P23)</f>
        <v>11554.595525245171</v>
      </c>
    </row>
    <row r="24" spans="1:17">
      <c r="A24" s="447" t="s">
        <v>187</v>
      </c>
      <c r="B24" s="448">
        <f t="shared" ca="1" si="2"/>
        <v>276.85696771979241</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276.85696771979241</v>
      </c>
    </row>
    <row r="25" spans="1:17">
      <c r="A25" s="447" t="s">
        <v>105</v>
      </c>
      <c r="B25" s="448">
        <f t="shared" ca="1" si="2"/>
        <v>277.40707584254977</v>
      </c>
      <c r="C25" s="448">
        <f t="shared" ca="1" si="3"/>
        <v>10490.929411764706</v>
      </c>
      <c r="D25" s="448">
        <f t="shared" si="4"/>
        <v>1028.4553802076825</v>
      </c>
      <c r="E25" s="448">
        <f t="shared" si="5"/>
        <v>6.0425444836708522</v>
      </c>
      <c r="F25" s="448">
        <f t="shared" si="6"/>
        <v>1209.6203038567089</v>
      </c>
      <c r="G25" s="448">
        <f t="shared" si="7"/>
        <v>0</v>
      </c>
      <c r="H25" s="448">
        <f t="shared" si="8"/>
        <v>0</v>
      </c>
      <c r="I25" s="448">
        <f t="shared" si="9"/>
        <v>0</v>
      </c>
      <c r="J25" s="448">
        <f t="shared" si="10"/>
        <v>52.048816265677658</v>
      </c>
      <c r="K25" s="448">
        <f t="shared" si="11"/>
        <v>0</v>
      </c>
      <c r="L25" s="448">
        <f t="shared" si="12"/>
        <v>0</v>
      </c>
      <c r="M25" s="448">
        <f t="shared" si="13"/>
        <v>0</v>
      </c>
      <c r="N25" s="448">
        <f t="shared" si="14"/>
        <v>0</v>
      </c>
      <c r="O25" s="448">
        <f t="shared" si="15"/>
        <v>0</v>
      </c>
      <c r="P25" s="449">
        <f t="shared" si="16"/>
        <v>0</v>
      </c>
      <c r="Q25" s="447">
        <f t="shared" ca="1" si="17"/>
        <v>13064.503532420997</v>
      </c>
    </row>
    <row r="26" spans="1:17">
      <c r="A26" s="447" t="s">
        <v>614</v>
      </c>
      <c r="B26" s="448">
        <f t="shared" ca="1" si="2"/>
        <v>8635.2219120804039</v>
      </c>
      <c r="C26" s="448">
        <f t="shared" ca="1" si="3"/>
        <v>0</v>
      </c>
      <c r="D26" s="448">
        <f t="shared" si="4"/>
        <v>2558.4218112197464</v>
      </c>
      <c r="E26" s="448">
        <f t="shared" si="5"/>
        <v>615.35540947081961</v>
      </c>
      <c r="F26" s="448">
        <f t="shared" si="6"/>
        <v>2772.4641955265533</v>
      </c>
      <c r="G26" s="448">
        <f t="shared" si="7"/>
        <v>0</v>
      </c>
      <c r="H26" s="448">
        <f t="shared" si="8"/>
        <v>0</v>
      </c>
      <c r="I26" s="448">
        <f t="shared" si="9"/>
        <v>0</v>
      </c>
      <c r="J26" s="448">
        <f t="shared" si="10"/>
        <v>29.17175666657463</v>
      </c>
      <c r="K26" s="448">
        <f t="shared" si="11"/>
        <v>0</v>
      </c>
      <c r="L26" s="448">
        <f t="shared" si="12"/>
        <v>0</v>
      </c>
      <c r="M26" s="448">
        <f t="shared" si="13"/>
        <v>0</v>
      </c>
      <c r="N26" s="448">
        <f t="shared" si="14"/>
        <v>0</v>
      </c>
      <c r="O26" s="448">
        <f t="shared" si="15"/>
        <v>0</v>
      </c>
      <c r="P26" s="449">
        <f t="shared" si="16"/>
        <v>0</v>
      </c>
      <c r="Q26" s="447">
        <f t="shared" ca="1" si="17"/>
        <v>14610.635084964097</v>
      </c>
    </row>
    <row r="27" spans="1:17" s="453" customFormat="1">
      <c r="A27" s="451" t="s">
        <v>555</v>
      </c>
      <c r="B27" s="725">
        <f t="shared" ca="1" si="2"/>
        <v>3.2350445835415842</v>
      </c>
      <c r="C27" s="452">
        <f t="shared" ca="1" si="3"/>
        <v>0</v>
      </c>
      <c r="D27" s="452">
        <f t="shared" si="4"/>
        <v>2.5582235985058275</v>
      </c>
      <c r="E27" s="452">
        <f t="shared" si="5"/>
        <v>119.22287105257404</v>
      </c>
      <c r="F27" s="452">
        <f t="shared" si="6"/>
        <v>0</v>
      </c>
      <c r="G27" s="452">
        <f t="shared" si="7"/>
        <v>50940.491359747262</v>
      </c>
      <c r="H27" s="452">
        <f t="shared" si="8"/>
        <v>5991.1375417399877</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57056.645040721873</v>
      </c>
    </row>
    <row r="28" spans="1:17">
      <c r="A28" s="447" t="s">
        <v>545</v>
      </c>
      <c r="B28" s="448">
        <f t="shared" ca="1" si="2"/>
        <v>254.94155780564134</v>
      </c>
      <c r="C28" s="448">
        <f t="shared" ca="1" si="3"/>
        <v>0</v>
      </c>
      <c r="D28" s="448">
        <f t="shared" si="4"/>
        <v>0</v>
      </c>
      <c r="E28" s="448">
        <f t="shared" si="5"/>
        <v>0</v>
      </c>
      <c r="F28" s="448">
        <f t="shared" si="6"/>
        <v>0</v>
      </c>
      <c r="G28" s="448">
        <f t="shared" si="7"/>
        <v>290.21138758118337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545.15294538682474</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430.99684570819994</v>
      </c>
      <c r="C32" s="448">
        <f t="shared" ca="1" si="3"/>
        <v>0</v>
      </c>
      <c r="D32" s="448">
        <f t="shared" si="4"/>
        <v>668.28522760622786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1099.2820733144279</v>
      </c>
    </row>
    <row r="33" spans="1:17" s="460" customFormat="1">
      <c r="A33" s="457" t="s">
        <v>549</v>
      </c>
      <c r="B33" s="458">
        <f ca="1">SUM(B22:B32)</f>
        <v>22388.949794539083</v>
      </c>
      <c r="C33" s="458">
        <f t="shared" ref="C33:Q33" ca="1" si="18">SUM(C22:C32)</f>
        <v>10498.56806722689</v>
      </c>
      <c r="D33" s="458">
        <f t="shared" ca="1" si="18"/>
        <v>29982.867687103542</v>
      </c>
      <c r="E33" s="458">
        <f t="shared" si="18"/>
        <v>1005.5645114997598</v>
      </c>
      <c r="F33" s="458">
        <f t="shared" ca="1" si="18"/>
        <v>13151.264628768618</v>
      </c>
      <c r="G33" s="458">
        <f t="shared" si="18"/>
        <v>51230.702747328447</v>
      </c>
      <c r="H33" s="458">
        <f t="shared" si="18"/>
        <v>5991.1375417399877</v>
      </c>
      <c r="I33" s="458">
        <f t="shared" si="18"/>
        <v>0</v>
      </c>
      <c r="J33" s="458">
        <f t="shared" si="18"/>
        <v>298.913375195355</v>
      </c>
      <c r="K33" s="458">
        <f t="shared" si="18"/>
        <v>0</v>
      </c>
      <c r="L33" s="458">
        <f t="shared" ca="1" si="18"/>
        <v>0</v>
      </c>
      <c r="M33" s="458">
        <f t="shared" si="18"/>
        <v>0</v>
      </c>
      <c r="N33" s="458">
        <f t="shared" ca="1" si="18"/>
        <v>0</v>
      </c>
      <c r="O33" s="458">
        <f t="shared" si="18"/>
        <v>0</v>
      </c>
      <c r="P33" s="458">
        <f t="shared" si="18"/>
        <v>0</v>
      </c>
      <c r="Q33" s="458">
        <f t="shared" ca="1" si="18"/>
        <v>134547.96835340169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4484.7384167839273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30924</v>
      </c>
      <c r="D8" s="982">
        <f>'SEAP template'!D76</f>
        <v>36381.176470588238</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7348.9976470588244</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4484.7384167839273</v>
      </c>
      <c r="C10" s="986">
        <f>SUM(C4:C9)</f>
        <v>30924</v>
      </c>
      <c r="D10" s="986">
        <f t="shared" ref="D10:H10" si="0">SUM(D8:D9)</f>
        <v>36381.176470588238</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7348.9976470588244</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0.21639608971995181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44177.142857142855</v>
      </c>
      <c r="D17" s="983">
        <f>'SEAP template'!D87</f>
        <v>51973.10924369748</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10498.568067226892</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44177.142857142855</v>
      </c>
      <c r="D20" s="986">
        <f t="shared" ref="D20:H20" si="2">SUM(D17:D19)</f>
        <v>51973.10924369748</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10498.568067226892</v>
      </c>
    </row>
    <row r="22" spans="1:16">
      <c r="A22" s="461" t="s">
        <v>829</v>
      </c>
      <c r="B22" s="731" t="s">
        <v>823</v>
      </c>
      <c r="C22" s="731">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0.21639608971995181</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2022-07-26T11:51:46Z</dcterms:modified>
</cp:coreProperties>
</file>