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4E417A75-2FDE-45C3-8B87-F849E00EB8C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5" i="18"/>
  <c r="V45" i="18"/>
  <c r="U45" i="18"/>
  <c r="T45" i="18"/>
  <c r="S45" i="18"/>
  <c r="R45" i="18"/>
  <c r="Q45" i="18"/>
  <c r="P45" i="18"/>
  <c r="O45" i="18"/>
  <c r="N45" i="18"/>
  <c r="M45" i="18"/>
  <c r="W44" i="18"/>
  <c r="V44" i="18"/>
  <c r="U44" i="18"/>
  <c r="T44" i="18"/>
  <c r="S44" i="18"/>
  <c r="R44" i="18"/>
  <c r="Q44" i="18"/>
  <c r="P44" i="18"/>
  <c r="O44" i="18"/>
  <c r="N44" i="18"/>
  <c r="M44" i="18"/>
  <c r="W43" i="18"/>
  <c r="V43" i="18"/>
  <c r="U43" i="18"/>
  <c r="T43" i="18"/>
  <c r="S43" i="18"/>
  <c r="R43" i="18"/>
  <c r="Q43" i="18"/>
  <c r="P43" i="18"/>
  <c r="O43" i="18"/>
  <c r="N43" i="18"/>
  <c r="M43" i="18"/>
  <c r="W42" i="18"/>
  <c r="H9" i="18"/>
  <c r="V42" i="18"/>
  <c r="U42" i="18"/>
  <c r="T42" i="18"/>
  <c r="I9" i="18"/>
  <c r="S42" i="18"/>
  <c r="E9" i="18"/>
  <c r="R42" i="18"/>
  <c r="Q42" i="18"/>
  <c r="P42" i="18"/>
  <c r="C9" i="18"/>
  <c r="O42" i="18"/>
  <c r="N42" i="18"/>
  <c r="B9" i="18"/>
  <c r="M42"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S36" i="18"/>
  <c r="R36" i="18"/>
  <c r="Q36" i="18"/>
  <c r="P36" i="18"/>
  <c r="O36" i="18"/>
  <c r="N36" i="18"/>
  <c r="M36" i="18"/>
  <c r="W35" i="18"/>
  <c r="V35" i="18"/>
  <c r="U35" i="18"/>
  <c r="T35" i="18"/>
  <c r="S35" i="18"/>
  <c r="R35" i="18"/>
  <c r="Q35" i="18"/>
  <c r="P35" i="18"/>
  <c r="O35" i="18"/>
  <c r="B17" i="18"/>
  <c r="N35" i="18"/>
  <c r="B8" i="18"/>
  <c r="M35" i="18"/>
  <c r="G22" i="18"/>
  <c r="F22" i="18"/>
  <c r="E22" i="18"/>
  <c r="D22" i="18"/>
  <c r="C22" i="18"/>
  <c r="L20" i="18"/>
  <c r="D20" i="18"/>
  <c r="G12" i="18"/>
  <c r="F12" i="18"/>
  <c r="E12" i="18"/>
  <c r="D12" i="18"/>
  <c r="C12" i="18"/>
  <c r="L10" i="18"/>
  <c r="K10" i="18"/>
  <c r="D10" i="18"/>
  <c r="B6" i="18"/>
  <c r="B5" i="18"/>
  <c r="B4" i="18"/>
  <c r="J9" i="18"/>
  <c r="O9" i="18"/>
  <c r="B51" i="18"/>
  <c r="I55" i="18"/>
  <c r="H17" i="18"/>
  <c r="H20" i="18"/>
  <c r="B20" i="18"/>
  <c r="C51" i="18"/>
  <c r="E54" i="18"/>
  <c r="E8" i="18"/>
  <c r="E10" i="18"/>
  <c r="O18" i="18"/>
  <c r="G20" i="18"/>
  <c r="K20" i="18"/>
  <c r="B10" i="18"/>
  <c r="O19" i="18"/>
  <c r="N6" i="17"/>
  <c r="B55" i="18"/>
  <c r="C17" i="18"/>
  <c r="C20" i="18"/>
  <c r="C55" i="18"/>
  <c r="H55" i="18"/>
  <c r="D55" i="18"/>
  <c r="J17" i="18"/>
  <c r="J20" i="18"/>
  <c r="F55" i="18"/>
  <c r="E55" i="18"/>
  <c r="E17" i="18"/>
  <c r="E20" i="18"/>
  <c r="G55" i="18"/>
  <c r="I17" i="18"/>
  <c r="I20" i="18"/>
  <c r="I54" i="18"/>
  <c r="H8" i="18"/>
  <c r="H10" i="18"/>
  <c r="G54" i="18"/>
  <c r="F54" i="18"/>
  <c r="I8" i="18"/>
  <c r="I10" i="18"/>
  <c r="D54" i="18"/>
  <c r="C54" i="18"/>
  <c r="B54" i="18"/>
  <c r="C8" i="18"/>
  <c r="C10" i="18"/>
  <c r="H54"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<sst xmlns="http://schemas.openxmlformats.org/spreadsheetml/2006/main" count="2476" uniqueCount="911">
  <si>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</si>
  <si>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</si>
  <si>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</si>
  <si>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</si>
  <si>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</si>
  <si>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</si>
  <si>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</si>
  <si>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</si>
  <si>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</si>
  <si>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</si>
  <si>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</si>
  <si>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</si>
  <si>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</si>
  <si>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</si>
  <si>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</si>
  <si>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</si>
  <si>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</si>
  <si>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</si>
  <si>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</si>
  <si>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</si>
  <si>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</si>
  <si>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</si>
  <si>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</si>
  <si>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</si>
  <si>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</si>
  <si>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</si>
  <si>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</si>
  <si>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</si>
  <si>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</si>
  <si>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</si>
  <si>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</si>
  <si>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</si>
  <si>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</si>
  <si>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</si>
  <si>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</si>
  <si>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</si>
  <si>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</si>
  <si>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</si>
  <si>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</si>
  <si>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</si>
  <si>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</si>
  <si>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</si>
  <si>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</si>
  <si>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</si>
  <si>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</si>
  <si>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</si>
  <si>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</si>
  <si>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</si>
  <si>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</si>
  <si>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</si>
  <si>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</si>
  <si>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</si>
  <si>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</si>
  <si>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</si>
  <si>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</si>
  <si>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</si>
  <si>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</si>
  <si>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</si>
  <si>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</si>
  <si>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</si>
  <si>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</si>
  <si>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</si>
  <si>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</si>
  <si>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</si>
  <si>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</si>
  <si>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</si>
  <si>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</si>
  <si>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</si>
  <si>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</si>
  <si>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</si>
  <si>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</si>
  <si>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</si>
  <si>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</si>
  <si>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</si>
  <si>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</si>
  <si>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</si>
  <si>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</si>
  <si>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</si>
  <si>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</si>
  <si>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</si>
  <si>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</si>
  <si>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</si>
  <si>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</si>
  <si>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</si>
  <si>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</si>
  <si>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</si>
  <si>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</si>
  <si>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</si>
  <si>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</si>
  <si>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</si>
  <si>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</si>
  <si>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</si>
  <si>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</si>
  <si>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</si>
  <si>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</si>
  <si>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</si>
  <si>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</si>
  <si>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</si>
  <si>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</si>
  <si>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</si>
  <si>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</si>
  <si>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</si>
  <si>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</si>
  <si>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</si>
  <si>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</si>
  <si>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</si>
  <si>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</si>
  <si>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</si>
  <si>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</si>
  <si>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</si>
  <si>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</si>
  <si>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</si>
  <si>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</si>
  <si>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</si>
  <si>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</si>
  <si>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</si>
  <si>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</si>
  <si>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</si>
  <si>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</si>
  <si>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</si>
  <si>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</si>
  <si>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</si>
  <si>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</si>
  <si>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</si>
  <si>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</si>
  <si>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</si>
  <si>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</si>
  <si>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</si>
  <si>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</si>
  <si>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</si>
  <si>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</si>
  <si>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</si>
  <si>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</si>
  <si>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</si>
  <si>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</si>
  <si>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</si>
  <si>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</si>
  <si>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</si>
  <si>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</si>
  <si>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</si>
  <si>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</si>
  <si>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</si>
  <si>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</si>
  <si>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</si>
  <si>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</si>
  <si>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</si>
  <si>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</si>
  <si>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</si>
  <si>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</si>
  <si>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</si>
  <si>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</si>
  <si>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</si>
  <si>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</si>
  <si>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</si>
  <si>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</si>
  <si>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</si>
  <si>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</si>
  <si>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</si>
  <si>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</si>
  <si>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</si>
  <si>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</si>
  <si>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</si>
  <si>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</si>
  <si>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</si>
  <si>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</si>
  <si>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</si>
  <si>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</si>
  <si>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</si>
  <si>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</si>
  <si>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</si>
  <si>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</si>
  <si>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</si>
  <si>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</si>
  <si>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</si>
  <si>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</si>
  <si>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</si>
  <si>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</si>
  <si>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</si>
  <si>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</si>
  <si>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</si>
  <si>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</si>
  <si>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</si>
  <si>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</si>
  <si>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</si>
  <si>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</si>
  <si>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</si>
  <si>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</si>
  <si>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</si>
  <si>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</si>
  <si>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</si>
  <si>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</si>
  <si>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</si>
  <si>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</si>
  <si>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</si>
  <si>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</si>
  <si>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</si>
  <si>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</si>
  <si>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</si>
  <si>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</si>
  <si>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</si>
  <si>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</si>
  <si>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</si>
  <si>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</si>
  <si>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</si>
  <si>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</si>
  <si>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</si>
  <si>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</si>
  <si>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</si>
  <si>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</si>
  <si>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</si>
  <si>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</si>
  <si>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</si>
  <si>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</si>
  <si>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</si>
  <si>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</si>
  <si>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</si>
  <si>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</si>
  <si>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</si>
  <si>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</si>
  <si>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</si>
  <si>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</si>
  <si>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</si>
  <si>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</si>
  <si>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</si>
  <si>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</si>
  <si>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</si>
  <si>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</si>
  <si>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</si>
  <si>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</si>
  <si>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</si>
  <si>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</si>
  <si>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</si>
  <si>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</si>
  <si>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</si>
  <si>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</si>
  <si>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</si>
  <si>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</si>
  <si>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</si>
  <si>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</si>
  <si>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</si>
  <si>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</si>
  <si>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</si>
  <si>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</si>
  <si>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</si>
  <si>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</si>
  <si>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</si>
  <si>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</si>
  <si>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</si>
  <si>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</si>
  <si>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</si>
  <si>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</si>
  <si>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</si>
  <si>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</si>
  <si>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</si>
  <si>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</si>
  <si>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</si>
  <si>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</si>
  <si>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</si>
  <si>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</si>
  <si>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</si>
  <si>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</si>
  <si>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</si>
  <si>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</si>
  <si>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</si>
  <si>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</si>
  <si>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</si>
  <si>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</si>
  <si>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</si>
  <si>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</si>
  <si>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</si>
  <si>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</si>
  <si>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</si>
  <si>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</si>
  <si>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</si>
  <si>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</si>
  <si>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</si>
  <si>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</si>
  <si>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</si>
  <si>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</si>
  <si>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</si>
  <si>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</si>
  <si>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</si>
  <si>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</si>
  <si>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</si>
  <si>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</si>
  <si>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</si>
  <si>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</si>
  <si>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</si>
  <si>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</si>
  <si>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</si>
  <si>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</si>
  <si>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</si>
  <si>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</si>
  <si>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</si>
  <si>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</si>
  <si>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</si>
  <si>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</si>
  <si>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</si>
  <si>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</si>
  <si>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</si>
  <si>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</si>
  <si>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</si>
  <si>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</si>
  <si>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</si>
  <si>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</si>
  <si>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</si>
  <si>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</si>
  <si>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</si>
  <si>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</si>
  <si>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</si>
  <si>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</si>
  <si>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</si>
  <si>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</si>
  <si>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</si>
  <si>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</si>
  <si>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</si>
  <si>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</si>
  <si>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</si>
  <si>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</si>
  <si>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</si>
  <si>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</si>
  <si>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</si>
  <si>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</si>
  <si>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</si>
  <si>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</si>
  <si>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</si>
  <si>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</si>
  <si>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</si>
  <si>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</si>
  <si>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</si>
  <si>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</si>
  <si>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</si>
  <si>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</si>
  <si>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</si>
  <si>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</si>
  <si>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</si>
  <si>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</si>
  <si>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</si>
  <si>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</si>
  <si>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</si>
  <si>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</si>
  <si>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</si>
  <si>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</si>
  <si>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</si>
  <si>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</si>
  <si>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</si>
  <si>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</si>
  <si>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</si>
  <si>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</si>
  <si>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</si>
  <si>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</si>
  <si>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</si>
  <si>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</si>
  <si>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</si>
  <si>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</si>
  <si>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</si>
  <si>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</si>
  <si>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</si>
  <si>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</si>
  <si>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</si>
  <si>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</si>
  <si>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</si>
  <si>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</si>
  <si>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</si>
  <si>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</si>
  <si>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</si>
  <si>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</si>
  <si>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</si>
  <si>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</si>
  <si>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</si>
  <si>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</si>
  <si>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</si>
  <si>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</si>
  <si>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</si>
  <si>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</si>
  <si>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</si>
  <si>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</si>
  <si>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</si>
  <si>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</si>
  <si>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</si>
  <si>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</si>
  <si>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</si>
  <si>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</si>
  <si>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</si>
  <si>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</si>
  <si>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</si>
  <si>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</si>
  <si>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</si>
  <si>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</si>
  <si>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</si>
  <si>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</si>
  <si>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</si>
  <si>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</si>
  <si>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</si>
  <si>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</si>
  <si>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</si>
  <si>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</si>
  <si>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</si>
  <si>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</si>
  <si>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</si>
  <si>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</si>
  <si>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</si>
  <si>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</si>
  <si>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</si>
  <si>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</si>
  <si>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</si>
  <si>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</si>
  <si>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</si>
  <si>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</si>
  <si>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</si>
  <si>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</si>
  <si>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</si>
  <si>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</si>
  <si>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</si>
  <si>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</si>
  <si>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</si>
  <si>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</si>
  <si>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</si>
  <si>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</si>
  <si>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</si>
  <si>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</si>
  <si>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</si>
  <si>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</si>
  <si>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</si>
  <si>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</si>
  <si>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</si>
  <si>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</si>
  <si>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</si>
  <si>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</si>
  <si>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</si>
  <si>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</si>
  <si>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</si>
  <si>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</si>
  <si>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</si>
  <si>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</si>
  <si>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</si>
  <si>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</si>
  <si>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</si>
  <si>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</si>
  <si>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</si>
  <si>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</si>
  <si>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</si>
  <si>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</si>
  <si>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</si>
  <si>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</si>
  <si>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</si>
  <si>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</si>
  <si>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</si>
  <si>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</si>
  <si>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</si>
  <si>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</si>
  <si>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</si>
  <si>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</si>
  <si>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</si>
  <si>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</si>
  <si>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</si>
  <si>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</si>
  <si>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</si>
  <si>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</si>
  <si>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</si>
  <si>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</si>
  <si>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</si>
  <si>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</si>
  <si>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</si>
  <si>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</si>
  <si>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</si>
  <si>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</si>
  <si>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</si>
  <si>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</si>
  <si>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</si>
  <si>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</si>
  <si>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</si>
  <si>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</si>
  <si>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</si>
  <si>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</si>
  <si>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</si>
  <si>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</si>
  <si>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</si>
  <si>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</si>
  <si>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</si>
  <si>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</si>
  <si>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</si>
  <si>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</si>
  <si>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</si>
  <si>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</si>
  <si>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</si>
  <si>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</si>
  <si>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</si>
  <si>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</si>
  <si>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</si>
  <si>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</si>
  <si>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</si>
  <si>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</si>
  <si>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</si>
  <si>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</si>
  <si>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</si>
  <si>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</si>
  <si>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</si>
  <si>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</si>
  <si>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</si>
  <si>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</si>
  <si>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</si>
  <si>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</si>
  <si>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</si>
  <si>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</si>
  <si>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</si>
  <si>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</si>
  <si>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</si>
  <si>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</si>
  <si>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</si>
  <si>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</si>
  <si>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</si>
  <si>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</si>
  <si>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</si>
  <si>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</si>
  <si>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</si>
  <si>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</si>
  <si>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</si>
  <si>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</si>
  <si>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</si>
  <si>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</si>
  <si>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</si>
  <si>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</si>
  <si>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</si>
  <si>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</si>
  <si>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</si>
  <si>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</si>
  <si>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</si>
  <si>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</si>
  <si>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</si>
  <si>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</si>
  <si>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</si>
  <si>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</si>
  <si>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</si>
  <si>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</si>
  <si>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</si>
  <si>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</si>
  <si>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</si>
  <si>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</si>
  <si>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</si>
  <si>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</si>
  <si>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</si>
  <si>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</si>
  <si>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</si>
  <si>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</si>
  <si>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</si>
  <si>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</si>
  <si>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</si>
  <si>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</si>
  <si>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</si>
  <si>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</si>
  <si>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</si>
  <si>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</si>
  <si>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</si>
  <si>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</si>
  <si>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</si>
  <si>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</si>
  <si>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</si>
  <si>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</si>
  <si>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</si>
  <si>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</si>
  <si>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</si>
  <si>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</si>
  <si>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</si>
  <si>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</si>
  <si>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</si>
  <si>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</si>
  <si>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</si>
  <si>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</si>
  <si>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</si>
  <si>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</si>
  <si>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</si>
  <si>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</si>
  <si>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</si>
  <si>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</si>
  <si>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</si>
  <si>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</si>
  <si>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</si>
  <si>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</si>
  <si>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</si>
  <si>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</si>
  <si>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</si>
  <si>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</si>
  <si>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</si>
  <si>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</si>
  <si>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</si>
  <si>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</si>
  <si>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</si>
  <si>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</si>
  <si>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</si>
  <si>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</si>
  <si>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</si>
  <si>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</si>
  <si>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</si>
  <si>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</si>
  <si>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</si>
  <si>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</si>
  <si>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</si>
  <si>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</si>
  <si>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</si>
  <si>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</si>
  <si>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</si>
  <si>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</si>
  <si>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</si>
  <si>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</si>
  <si>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</si>
  <si>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</si>
  <si>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</si>
  <si>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</si>
  <si>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</si>
  <si>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</si>
  <si>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</si>
  <si>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</si>
  <si>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</si>
  <si>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</si>
  <si>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</si>
  <si>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</si>
  <si>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</si>
  <si>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</si>
  <si>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</si>
  <si>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</si>
  <si>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</si>
  <si>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</si>
  <si>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</si>
  <si>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</si>
  <si>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</si>
  <si>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</si>
  <si>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</si>
  <si>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</si>
  <si>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</si>
  <si>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</si>
  <si>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</si>
  <si>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</si>
  <si>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</si>
  <si>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</si>
  <si>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</si>
  <si>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</si>
  <si>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</si>
  <si>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</si>
  <si>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</si>
  <si>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</si>
  <si>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</si>
  <si>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</si>
  <si>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</si>
  <si>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</si>
  <si>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</si>
  <si>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</si>
  <si>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</si>
  <si>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</si>
  <si>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</si>
  <si>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</si>
  <si>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</si>
  <si>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</si>
  <si>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</si>
  <si>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</si>
  <si>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</si>
  <si>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</si>
  <si>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</si>
  <si>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</si>
  <si>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</si>
  <si>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</si>
  <si>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</si>
  <si>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</si>
  <si>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</si>
  <si>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</si>
  <si>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</si>
  <si>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</si>
  <si>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</si>
  <si>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</si>
  <si>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</si>
  <si>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</si>
  <si>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</si>
  <si>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</si>
  <si>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</si>
  <si>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</si>
  <si>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</si>
  <si>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</si>
  <si>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</si>
  <si>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</si>
  <si>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</si>
  <si>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</si>
  <si>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</si>
  <si>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</si>
  <si>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</si>
  <si>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</si>
  <si>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</si>
  <si>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</si>
  <si>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</si>
  <si>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</si>
  <si>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</si>
  <si>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</si>
  <si>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</si>
  <si>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</si>
  <si>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</si>
  <si>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</si>
  <si>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</si>
  <si>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</si>
  <si>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</si>
  <si>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</si>
  <si>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</si>
  <si>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</si>
  <si>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</si>
  <si>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</si>
  <si>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</si>
  <si>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</si>
  <si>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</si>
  <si>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</si>
  <si>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</si>
  <si>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</si>
  <si>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</si>
  <si>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</si>
  <si>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</si>
  <si>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</si>
  <si>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</si>
  <si>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</si>
  <si>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</si>
  <si>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</si>
  <si>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</si>
  <si>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</si>
  <si>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</si>
  <si>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</si>
  <si>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</si>
  <si>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</si>
  <si>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</si>
  <si>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</si>
  <si>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</si>
  <si>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</si>
  <si>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</si>
  <si>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</si>
  <si>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</si>
  <si>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</si>
  <si>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</si>
  <si>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</si>
  <si>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</si>
  <si>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</si>
  <si>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</si>
  <si>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</si>
  <si>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</si>
  <si>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</si>
  <si>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</si>
  <si>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</si>
  <si>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</si>
  <si>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</si>
  <si>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</si>
  <si>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</si>
  <si>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</si>
  <si>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</si>
  <si>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</si>
  <si>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</si>
  <si>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</si>
  <si>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</si>
  <si>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</si>
  <si>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</si>
  <si>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</si>
  <si>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</si>
  <si>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</si>
  <si>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</si>
  <si>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</si>
  <si>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</si>
  <si>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</si>
  <si>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</si>
  <si>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</si>
  <si>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</si>
  <si>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</si>
  <si>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</si>
  <si>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</si>
  <si>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</si>
  <si>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</si>
  <si>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</si>
  <si>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</si>
  <si>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</si>
  <si>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</si>
  <si>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</si>
  <si>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</si>
  <si>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</si>
  <si>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</si>
  <si>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</si>
  <si>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</si>
  <si>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</si>
  <si>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</si>
  <si>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</si>
  <si>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</si>
  <si>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</si>
  <si>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</si>
  <si>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</si>
  <si>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</si>
  <si>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</si>
  <si>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</si>
  <si>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</si>
  <si>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</si>
  <si>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</si>
  <si>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</si>
  <si>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</si>
  <si>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</si>
  <si>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</si>
  <si>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</si>
  <si>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</si>
  <si>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</si>
  <si>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</si>
  <si>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</si>
  <si>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</si>
  <si>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</si>
  <si>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</si>
  <si>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</si>
  <si>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</si>
  <si>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</si>
  <si>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</si>
  <si>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</si>
  <si>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</si>
  <si>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</si>
  <si>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</si>
  <si>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</si>
  <si>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</si>
  <si>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</si>
  <si>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</si>
  <si>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</si>
  <si>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</si>
  <si>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</si>
  <si>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</si>
  <si>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</si>
  <si>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</si>
  <si>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</si>
  <si>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</si>
  <si>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</si>
  <si>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</si>
  <si>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</si>
  <si>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</si>
  <si>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</si>
  <si>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</si>
  <si>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</si>
  <si>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</si>
  <si>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</si>
  <si>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</si>
  <si>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</si>
  <si>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</si>
  <si>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</si>
  <si>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</si>
  <si>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</si>
  <si>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</si>
  <si>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</si>
  <si>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</si>
  <si>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</si>
  <si>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</si>
  <si>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</si>
  <si>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</si>
  <si>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</si>
  <si>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</si>
  <si>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</si>
  <si>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</si>
  <si>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</si>
  <si>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</si>
  <si>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</si>
  <si>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</si>
  <si>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</si>
  <si>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</si>
  <si>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</si>
  <si>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</si>
  <si>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</si>
  <si>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</si>
  <si>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</si>
  <si>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</si>
  <si>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</si>
  <si>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</si>
  <si>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</si>
  <si>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</si>
  <si>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</si>
  <si>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</si>
  <si>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</si>
  <si>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</si>
  <si>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</si>
  <si>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</si>
  <si>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</si>
  <si>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</si>
  <si>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</si>
  <si>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</si>
  <si>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</si>
  <si>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</si>
  <si>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</si>
  <si>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</si>
  <si>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</si>
  <si>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</si>
  <si>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</si>
  <si>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</si>
  <si>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</si>
  <si>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</si>
  <si>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</si>
  <si>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</si>
  <si>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</si>
  <si>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</si>
  <si>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</si>
  <si>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</si>
  <si>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</si>
  <si>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</si>
  <si>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</si>
  <si>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</si>
  <si>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</si>
  <si>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</si>
  <si>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</si>
  <si>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</si>
  <si>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</si>
  <si>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</si>
  <si>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</si>
  <si>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11037</t>
  </si>
  <si>
    <t>RUMST</t>
  </si>
  <si>
    <t>Cultuurgrond (ha)</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</si>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</sst>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E3371B80-0B73-40B0-A1B2-870D8D6D378E}"/>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148296.31434008249</c:v>
                </c:pt>
                <c:pt idx="1">
                  <c:v>81900.319648898236</c:v>
                </c:pt>
                <c:pt idx="2">
                  <c:v>1079.3820000000001</c:v>
                </c:pt>
                <c:pt idx="3">
                  <c:v>78723.475640508841</c:v>
                </c:pt>
                <c:pt idx="4">
                  <c:v>78329.142207095647</c:v>
                </c:pt>
                <c:pt idx="5">
                  <c:v>261337.03287185548</c:v>
                </c:pt>
                <c:pt idx="6">
                  <c:v>2225.6414056195586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148296.31434008249</c:v>
                </c:pt>
                <c:pt idx="1">
                  <c:v>81900.319648898236</c:v>
                </c:pt>
                <c:pt idx="2">
                  <c:v>1079.3820000000001</c:v>
                </c:pt>
                <c:pt idx="3">
                  <c:v>78723.475640508841</c:v>
                </c:pt>
                <c:pt idx="4">
                  <c:v>78329.142207095647</c:v>
                </c:pt>
                <c:pt idx="5">
                  <c:v>261337.03287185548</c:v>
                </c:pt>
                <c:pt idx="6">
                  <c:v>2225.6414056195586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30539.603719101833</c:v>
                </c:pt>
                <c:pt idx="2">
                  <c:v>15554.675750407354</c:v>
                </c:pt>
                <c:pt idx="3">
                  <c:v>239.30537274047873</c:v>
                </c:pt>
                <c:pt idx="4">
                  <c:v>18840.219093227828</c:v>
                </c:pt>
                <c:pt idx="5">
                  <c:v>16333.235764574842</c:v>
                </c:pt>
                <c:pt idx="6">
                  <c:v>66125.690579924732</c:v>
                </c:pt>
                <c:pt idx="7">
                  <c:v>568.37485476813538</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30539.603719101833</c:v>
                </c:pt>
                <c:pt idx="2">
                  <c:v>15554.675750407354</c:v>
                </c:pt>
                <c:pt idx="3">
                  <c:v>239.30537274047873</c:v>
                </c:pt>
                <c:pt idx="4">
                  <c:v>18840.219093227828</c:v>
                </c:pt>
                <c:pt idx="5">
                  <c:v>16333.235764574842</c:v>
                </c:pt>
                <c:pt idx="6">
                  <c:v>66125.690579924732</c:v>
                </c:pt>
                <c:pt idx="7">
                  <c:v>568.37485476813538</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11037</v>
      </c>
      <c r="B6" s="385"/>
      <c r="C6" s="386"/>
    </row>
    <row r="7" spans="1:7" s="383" customFormat="1" ht="15.75" customHeight="1">
      <c r="A7" s="387" t="str">
        <f>txtMunicipality</f>
        <v>RUMST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0.22170591388449939</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0.22170591388449939</v>
      </c>
      <c r="C29" s="499">
        <f ca="1">'EF ele_warmte'!B22</f>
        <v>0.23764705882352946</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6041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566</v>
      </c>
      <c r="C14" s="327"/>
      <c r="D14" s="327"/>
      <c r="E14" s="327"/>
      <c r="F14" s="327"/>
    </row>
    <row r="15" spans="1:6">
      <c r="A15" s="1258" t="s">
        <v>177</v>
      </c>
      <c r="B15" s="1259">
        <v>8</v>
      </c>
      <c r="C15" s="327"/>
      <c r="D15" s="327"/>
      <c r="E15" s="327"/>
      <c r="F15" s="327"/>
    </row>
    <row r="16" spans="1:6">
      <c r="A16" s="1258" t="s">
        <v>6</v>
      </c>
      <c r="B16" s="1259">
        <v>617</v>
      </c>
      <c r="C16" s="327"/>
      <c r="D16" s="327"/>
      <c r="E16" s="327"/>
      <c r="F16" s="327"/>
    </row>
    <row r="17" spans="1:6">
      <c r="A17" s="1258" t="s">
        <v>7</v>
      </c>
      <c r="B17" s="1259">
        <v>55</v>
      </c>
      <c r="C17" s="327"/>
      <c r="D17" s="327"/>
      <c r="E17" s="327"/>
      <c r="F17" s="327"/>
    </row>
    <row r="18" spans="1:6">
      <c r="A18" s="1258" t="s">
        <v>8</v>
      </c>
      <c r="B18" s="1259">
        <v>383</v>
      </c>
      <c r="C18" s="327"/>
      <c r="D18" s="327"/>
      <c r="E18" s="327"/>
      <c r="F18" s="327"/>
    </row>
    <row r="19" spans="1:6">
      <c r="A19" s="1258" t="s">
        <v>9</v>
      </c>
      <c r="B19" s="1259">
        <v>323</v>
      </c>
      <c r="C19" s="327"/>
      <c r="D19" s="327"/>
      <c r="E19" s="327"/>
      <c r="F19" s="327"/>
    </row>
    <row r="20" spans="1:6">
      <c r="A20" s="1258" t="s">
        <v>10</v>
      </c>
      <c r="B20" s="1259">
        <v>160</v>
      </c>
      <c r="C20" s="327"/>
      <c r="D20" s="327"/>
      <c r="E20" s="327"/>
      <c r="F20" s="327"/>
    </row>
    <row r="21" spans="1:6">
      <c r="A21" s="1258" t="s">
        <v>11</v>
      </c>
      <c r="B21" s="1259">
        <v>0</v>
      </c>
      <c r="C21" s="327"/>
      <c r="D21" s="327"/>
      <c r="E21" s="327"/>
      <c r="F21" s="327"/>
    </row>
    <row r="22" spans="1:6">
      <c r="A22" s="1258" t="s">
        <v>12</v>
      </c>
      <c r="B22" s="1259">
        <v>496</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3</v>
      </c>
      <c r="C26" s="327"/>
      <c r="D26" s="327"/>
      <c r="E26" s="327"/>
      <c r="F26" s="327"/>
    </row>
    <row r="27" spans="1:6">
      <c r="A27" s="1258" t="s">
        <v>17</v>
      </c>
      <c r="B27" s="1259">
        <v>7</v>
      </c>
      <c r="C27" s="327"/>
      <c r="D27" s="327"/>
      <c r="E27" s="327"/>
      <c r="F27" s="327"/>
    </row>
    <row r="28" spans="1:6">
      <c r="A28" s="1258" t="s">
        <v>18</v>
      </c>
      <c r="B28" s="1260">
        <v>67161</v>
      </c>
      <c r="C28" s="327"/>
      <c r="D28" s="327"/>
      <c r="E28" s="327"/>
      <c r="F28" s="327"/>
    </row>
    <row r="29" spans="1:6">
      <c r="A29" s="1258" t="s">
        <v>905</v>
      </c>
      <c r="B29" s="1260">
        <v>16</v>
      </c>
      <c r="C29" s="327"/>
      <c r="D29" s="327"/>
      <c r="E29" s="327"/>
      <c r="F29" s="327"/>
    </row>
    <row r="30" spans="1:6">
      <c r="A30" s="1253" t="s">
        <v>906</v>
      </c>
      <c r="B30" s="1261">
        <v>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8972</v>
      </c>
    </row>
    <row r="37" spans="1:6">
      <c r="A37" s="1258" t="s">
        <v>24</v>
      </c>
      <c r="B37" s="1258" t="s">
        <v>27</v>
      </c>
      <c r="C37" s="1259">
        <v>0</v>
      </c>
      <c r="D37" s="1259">
        <v>0</v>
      </c>
      <c r="E37" s="1259">
        <v>0</v>
      </c>
      <c r="F37" s="1259">
        <v>0</v>
      </c>
    </row>
    <row r="38" spans="1:6">
      <c r="A38" s="1258" t="s">
        <v>24</v>
      </c>
      <c r="B38" s="1258" t="s">
        <v>28</v>
      </c>
      <c r="C38" s="1259">
        <v>1</v>
      </c>
      <c r="D38" s="1259">
        <v>8794.6444474195996</v>
      </c>
      <c r="E38" s="1259">
        <v>0</v>
      </c>
      <c r="F38" s="1259">
        <v>0</v>
      </c>
    </row>
    <row r="39" spans="1:6">
      <c r="A39" s="1258" t="s">
        <v>29</v>
      </c>
      <c r="B39" s="1258" t="s">
        <v>30</v>
      </c>
      <c r="C39" s="1259">
        <v>4622</v>
      </c>
      <c r="D39" s="1259">
        <v>89245388.639396995</v>
      </c>
      <c r="E39" s="1259">
        <v>5945</v>
      </c>
      <c r="F39" s="1259">
        <v>26075900.611125801</v>
      </c>
    </row>
    <row r="40" spans="1:6">
      <c r="A40" s="1258" t="s">
        <v>29</v>
      </c>
      <c r="B40" s="1258" t="s">
        <v>28</v>
      </c>
      <c r="C40" s="1259">
        <v>1</v>
      </c>
      <c r="D40" s="1259">
        <v>53307</v>
      </c>
      <c r="E40" s="1259">
        <v>0</v>
      </c>
      <c r="F40" s="1259">
        <v>0</v>
      </c>
    </row>
    <row r="41" spans="1:6">
      <c r="A41" s="1258" t="s">
        <v>31</v>
      </c>
      <c r="B41" s="1258" t="s">
        <v>32</v>
      </c>
      <c r="C41" s="1259">
        <v>69</v>
      </c>
      <c r="D41" s="1259">
        <v>1521612.3135947301</v>
      </c>
      <c r="E41" s="1259">
        <v>140</v>
      </c>
      <c r="F41" s="1259">
        <v>1393983.7797863199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9</v>
      </c>
      <c r="F44" s="1259">
        <v>97492.628551514805</v>
      </c>
    </row>
    <row r="45" spans="1:6">
      <c r="A45" s="1258" t="s">
        <v>31</v>
      </c>
      <c r="B45" s="1258" t="s">
        <v>36</v>
      </c>
      <c r="C45" s="1259">
        <v>4</v>
      </c>
      <c r="D45" s="1259">
        <v>0</v>
      </c>
      <c r="E45" s="1259">
        <v>8</v>
      </c>
      <c r="F45" s="1259">
        <v>1707233.0500157599</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20</v>
      </c>
      <c r="D48" s="1259">
        <v>59603874.111471698</v>
      </c>
      <c r="E48" s="1259">
        <v>39</v>
      </c>
      <c r="F48" s="1259">
        <v>12492245.655668201</v>
      </c>
    </row>
    <row r="49" spans="1:6">
      <c r="A49" s="1258" t="s">
        <v>31</v>
      </c>
      <c r="B49" s="1258" t="s">
        <v>39</v>
      </c>
      <c r="C49" s="1259">
        <v>0</v>
      </c>
      <c r="D49" s="1259">
        <v>0</v>
      </c>
      <c r="E49" s="1259">
        <v>0</v>
      </c>
      <c r="F49" s="1259">
        <v>0</v>
      </c>
    </row>
    <row r="50" spans="1:6">
      <c r="A50" s="1258" t="s">
        <v>31</v>
      </c>
      <c r="B50" s="1258" t="s">
        <v>40</v>
      </c>
      <c r="C50" s="1259">
        <v>7</v>
      </c>
      <c r="D50" s="1259">
        <v>471445.12582408899</v>
      </c>
      <c r="E50" s="1259">
        <v>11</v>
      </c>
      <c r="F50" s="1259">
        <v>248276.53017839999</v>
      </c>
    </row>
    <row r="51" spans="1:6">
      <c r="A51" s="1258" t="s">
        <v>41</v>
      </c>
      <c r="B51" s="1258" t="s">
        <v>42</v>
      </c>
      <c r="C51" s="1259">
        <v>11</v>
      </c>
      <c r="D51" s="1259">
        <v>127648859.112551</v>
      </c>
      <c r="E51" s="1259">
        <v>59</v>
      </c>
      <c r="F51" s="1259">
        <v>1302889.12999315</v>
      </c>
    </row>
    <row r="52" spans="1:6">
      <c r="A52" s="1258" t="s">
        <v>41</v>
      </c>
      <c r="B52" s="1258" t="s">
        <v>28</v>
      </c>
      <c r="C52" s="1259">
        <v>5</v>
      </c>
      <c r="D52" s="1259">
        <v>29933220.4186881</v>
      </c>
      <c r="E52" s="1259">
        <v>7</v>
      </c>
      <c r="F52" s="1259">
        <v>258803.16804261401</v>
      </c>
    </row>
    <row r="53" spans="1:6">
      <c r="A53" s="1258" t="s">
        <v>43</v>
      </c>
      <c r="B53" s="1258" t="s">
        <v>44</v>
      </c>
      <c r="C53" s="1259">
        <v>95</v>
      </c>
      <c r="D53" s="1259">
        <v>4325040.5808282699</v>
      </c>
      <c r="E53" s="1259">
        <v>182</v>
      </c>
      <c r="F53" s="1259">
        <v>4081319.8963423101</v>
      </c>
    </row>
    <row r="54" spans="1:6">
      <c r="A54" s="1258" t="s">
        <v>45</v>
      </c>
      <c r="B54" s="1258" t="s">
        <v>46</v>
      </c>
      <c r="C54" s="1259">
        <v>0</v>
      </c>
      <c r="D54" s="1259">
        <v>0</v>
      </c>
      <c r="E54" s="1259">
        <v>1</v>
      </c>
      <c r="F54" s="1259">
        <v>1079382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20</v>
      </c>
      <c r="D57" s="1259">
        <v>563959.76978183805</v>
      </c>
      <c r="E57" s="1259">
        <v>51</v>
      </c>
      <c r="F57" s="1259">
        <v>16836620.5953064</v>
      </c>
    </row>
    <row r="58" spans="1:6">
      <c r="A58" s="1258" t="s">
        <v>48</v>
      </c>
      <c r="B58" s="1258" t="s">
        <v>50</v>
      </c>
      <c r="C58" s="1259">
        <v>18</v>
      </c>
      <c r="D58" s="1259">
        <v>538222.97335487197</v>
      </c>
      <c r="E58" s="1259">
        <v>35</v>
      </c>
      <c r="F58" s="1259">
        <v>1016640.00002416</v>
      </c>
    </row>
    <row r="59" spans="1:6">
      <c r="A59" s="1258" t="s">
        <v>48</v>
      </c>
      <c r="B59" s="1258" t="s">
        <v>51</v>
      </c>
      <c r="C59" s="1259">
        <v>48</v>
      </c>
      <c r="D59" s="1259">
        <v>8329953.2652048599</v>
      </c>
      <c r="E59" s="1259">
        <v>113</v>
      </c>
      <c r="F59" s="1259">
        <v>7739685.61156506</v>
      </c>
    </row>
    <row r="60" spans="1:6">
      <c r="A60" s="1258" t="s">
        <v>48</v>
      </c>
      <c r="B60" s="1258" t="s">
        <v>52</v>
      </c>
      <c r="C60" s="1259">
        <v>44</v>
      </c>
      <c r="D60" s="1259">
        <v>2158028.7424050402</v>
      </c>
      <c r="E60" s="1259">
        <v>58</v>
      </c>
      <c r="F60" s="1259">
        <v>1553647.1900854399</v>
      </c>
    </row>
    <row r="61" spans="1:6">
      <c r="A61" s="1258" t="s">
        <v>48</v>
      </c>
      <c r="B61" s="1258" t="s">
        <v>53</v>
      </c>
      <c r="C61" s="1259">
        <v>128</v>
      </c>
      <c r="D61" s="1259">
        <v>6389469.4543363303</v>
      </c>
      <c r="E61" s="1259">
        <v>288</v>
      </c>
      <c r="F61" s="1259">
        <v>5559521.9313987903</v>
      </c>
    </row>
    <row r="62" spans="1:6">
      <c r="A62" s="1258" t="s">
        <v>48</v>
      </c>
      <c r="B62" s="1258" t="s">
        <v>54</v>
      </c>
      <c r="C62" s="1259">
        <v>7</v>
      </c>
      <c r="D62" s="1259">
        <v>747485.86836487998</v>
      </c>
      <c r="E62" s="1259">
        <v>11</v>
      </c>
      <c r="F62" s="1259">
        <v>165598.76015329201</v>
      </c>
    </row>
    <row r="63" spans="1:6">
      <c r="A63" s="1258" t="s">
        <v>48</v>
      </c>
      <c r="B63" s="1258" t="s">
        <v>28</v>
      </c>
      <c r="C63" s="1259">
        <v>100</v>
      </c>
      <c r="D63" s="1259">
        <v>11592044.4451115</v>
      </c>
      <c r="E63" s="1259">
        <v>97</v>
      </c>
      <c r="F63" s="1259">
        <v>5486564.4032522999</v>
      </c>
    </row>
    <row r="64" spans="1:6">
      <c r="A64" s="1258" t="s">
        <v>55</v>
      </c>
      <c r="B64" s="1258" t="s">
        <v>56</v>
      </c>
      <c r="C64" s="1259">
        <v>0</v>
      </c>
      <c r="D64" s="1259">
        <v>0</v>
      </c>
      <c r="E64" s="1259">
        <v>0</v>
      </c>
      <c r="F64" s="1259">
        <v>0</v>
      </c>
    </row>
    <row r="65" spans="1:6">
      <c r="A65" s="1258" t="s">
        <v>55</v>
      </c>
      <c r="B65" s="1258" t="s">
        <v>28</v>
      </c>
      <c r="C65" s="1259">
        <v>2</v>
      </c>
      <c r="D65" s="1259">
        <v>53241.667894989099</v>
      </c>
      <c r="E65" s="1259">
        <v>2</v>
      </c>
      <c r="F65" s="1259">
        <v>20404.182233708001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99605.339425833794</v>
      </c>
      <c r="E68" s="1261">
        <v>10</v>
      </c>
      <c r="F68" s="1261">
        <v>326419.820731404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120483222</v>
      </c>
      <c r="E73" s="446"/>
      <c r="F73" s="327"/>
    </row>
    <row r="74" spans="1:6">
      <c r="A74" s="1258" t="s">
        <v>63</v>
      </c>
      <c r="B74" s="1258" t="s">
        <v>681</v>
      </c>
      <c r="C74" s="1271" t="s">
        <v>682</v>
      </c>
      <c r="D74" s="1259">
        <v>13267202.284133002</v>
      </c>
      <c r="E74" s="446"/>
      <c r="F74" s="327"/>
    </row>
    <row r="75" spans="1:6">
      <c r="A75" s="1258" t="s">
        <v>64</v>
      </c>
      <c r="B75" s="1258" t="s">
        <v>679</v>
      </c>
      <c r="C75" s="1271" t="s">
        <v>683</v>
      </c>
      <c r="D75" s="1259">
        <v>8723986</v>
      </c>
      <c r="E75" s="446"/>
      <c r="F75" s="327"/>
    </row>
    <row r="76" spans="1:6">
      <c r="A76" s="1258" t="s">
        <v>64</v>
      </c>
      <c r="B76" s="1258" t="s">
        <v>681</v>
      </c>
      <c r="C76" s="1271" t="s">
        <v>684</v>
      </c>
      <c r="D76" s="1259">
        <v>13917.900000000001</v>
      </c>
      <c r="E76" s="446"/>
      <c r="F76" s="327"/>
    </row>
    <row r="77" spans="1:6">
      <c r="A77" s="1258" t="s">
        <v>65</v>
      </c>
      <c r="B77" s="1258" t="s">
        <v>679</v>
      </c>
      <c r="C77" s="1271" t="s">
        <v>685</v>
      </c>
      <c r="D77" s="1259">
        <v>145008279</v>
      </c>
      <c r="E77" s="446"/>
      <c r="F77" s="327"/>
    </row>
    <row r="78" spans="1:6">
      <c r="A78" s="1253" t="s">
        <v>65</v>
      </c>
      <c r="B78" s="1253" t="s">
        <v>681</v>
      </c>
      <c r="C78" s="1253" t="s">
        <v>686</v>
      </c>
      <c r="D78" s="1261">
        <v>17581655</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589061.43173399405</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1955.3741303696793</v>
      </c>
      <c r="C91" s="327"/>
      <c r="D91" s="327"/>
      <c r="E91" s="327"/>
      <c r="F91" s="327"/>
    </row>
    <row r="92" spans="1:6">
      <c r="A92" s="1253" t="s">
        <v>68</v>
      </c>
      <c r="B92" s="1254">
        <v>1488.3790131353899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3577</v>
      </c>
      <c r="C97" s="327"/>
      <c r="D97" s="327"/>
      <c r="E97" s="327"/>
      <c r="F97" s="327"/>
    </row>
    <row r="98" spans="1:6">
      <c r="A98" s="1258" t="s">
        <v>71</v>
      </c>
      <c r="B98" s="1259">
        <v>8</v>
      </c>
      <c r="C98" s="327"/>
      <c r="D98" s="327"/>
      <c r="E98" s="327"/>
      <c r="F98" s="327"/>
    </row>
    <row r="99" spans="1:6">
      <c r="A99" s="1258" t="s">
        <v>72</v>
      </c>
      <c r="B99" s="1259">
        <v>24</v>
      </c>
      <c r="C99" s="327"/>
      <c r="D99" s="327"/>
      <c r="E99" s="327"/>
      <c r="F99" s="327"/>
    </row>
    <row r="100" spans="1:6">
      <c r="A100" s="1258" t="s">
        <v>73</v>
      </c>
      <c r="B100" s="1259">
        <v>607</v>
      </c>
      <c r="C100" s="327"/>
      <c r="D100" s="327"/>
      <c r="E100" s="327"/>
      <c r="F100" s="327"/>
    </row>
    <row r="101" spans="1:6">
      <c r="A101" s="1258" t="s">
        <v>74</v>
      </c>
      <c r="B101" s="1259">
        <v>38</v>
      </c>
      <c r="C101" s="327"/>
      <c r="D101" s="327"/>
      <c r="E101" s="327"/>
      <c r="F101" s="327"/>
    </row>
    <row r="102" spans="1:6">
      <c r="A102" s="1258" t="s">
        <v>75</v>
      </c>
      <c r="B102" s="1259">
        <v>92</v>
      </c>
      <c r="C102" s="327"/>
      <c r="D102" s="327"/>
      <c r="E102" s="327"/>
      <c r="F102" s="327"/>
    </row>
    <row r="103" spans="1:6">
      <c r="A103" s="1258" t="s">
        <v>76</v>
      </c>
      <c r="B103" s="1259">
        <v>96</v>
      </c>
      <c r="C103" s="327"/>
      <c r="D103" s="327"/>
      <c r="E103" s="327"/>
      <c r="F103" s="327"/>
    </row>
    <row r="104" spans="1:6">
      <c r="A104" s="1258" t="s">
        <v>77</v>
      </c>
      <c r="B104" s="1259">
        <v>1007</v>
      </c>
      <c r="C104" s="327"/>
      <c r="D104" s="327"/>
      <c r="E104" s="327"/>
      <c r="F104" s="327"/>
    </row>
    <row r="105" spans="1:6">
      <c r="A105" s="1253" t="s">
        <v>78</v>
      </c>
      <c r="B105" s="1261">
        <v>8</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13</v>
      </c>
      <c r="C123" s="1259">
        <v>4</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59</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89083.182334591416</v>
      </c>
      <c r="C3" s="43" t="s">
        <v>163</v>
      </c>
      <c r="D3" s="43"/>
      <c r="E3" s="156"/>
      <c r="F3" s="43"/>
      <c r="G3" s="43"/>
      <c r="H3" s="43"/>
      <c r="I3" s="43"/>
      <c r="J3" s="43"/>
      <c r="K3" s="96"/>
    </row>
    <row r="4" spans="1:11">
      <c r="A4" s="353" t="s">
        <v>164</v>
      </c>
      <c r="B4" s="49">
        <f>IF(ISERROR('SEAP template'!B78+'SEAP template'!C78),0,'SEAP template'!B78+'SEAP template'!C78)</f>
        <v>52939.25314350507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11762.460000000001</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0.22170591388449939</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16803.514285714289</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70707.857142857145</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0.23764705882352946</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1079.3820000000001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1079.3820000000001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0.22170591388449939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239.30537274047873</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26075.900611125802</v>
      </c>
      <c r="C5" s="17">
        <f>IF(ISERROR('Eigen informatie GS &amp; warmtenet'!B57),0,'Eigen informatie GS &amp; warmtenet'!B57)</f>
        <v>0</v>
      </c>
      <c r="D5" s="30">
        <f>(SUM(HH_hh_gas_kWh,HH_rest_gas_kWh)/1000)*0.902</f>
        <v>80547.423466736087</v>
      </c>
      <c r="E5" s="17">
        <f>B32*B41</f>
        <v>934.94149491103167</v>
      </c>
      <c r="F5" s="17">
        <f>B36*B45</f>
        <v>28651.724111303844</v>
      </c>
      <c r="G5" s="18"/>
      <c r="H5" s="17"/>
      <c r="I5" s="17"/>
      <c r="J5" s="17">
        <f>B35*B44+C35*C44</f>
        <v>542.60660408889839</v>
      </c>
      <c r="K5" s="17"/>
      <c r="L5" s="17"/>
      <c r="M5" s="17"/>
      <c r="N5" s="17">
        <f>B34*B43+C34*C43</f>
        <v>9089.4539215471577</v>
      </c>
      <c r="O5" s="17">
        <f>B52*B53*B54</f>
        <v>98.490000000000009</v>
      </c>
      <c r="P5" s="17">
        <f>B60*B61*B62/1000-B60*B61*B62/1000/B63</f>
        <v>400.4</v>
      </c>
    </row>
    <row r="6" spans="1:16">
      <c r="A6" s="16" t="s">
        <v>592</v>
      </c>
      <c r="B6" s="733">
        <f>kWh_PV_kleiner_dan_10kW</f>
        <v>1955.3741303696793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28031.274741495483</v>
      </c>
      <c r="C8" s="21">
        <f>C5</f>
        <v>0</v>
      </c>
      <c r="D8" s="21">
        <f>D5</f>
        <v>80547.423466736087</v>
      </c>
      <c r="E8" s="21">
        <f>E5</f>
        <v>934.94149491103167</v>
      </c>
      <c r="F8" s="21">
        <f>F5</f>
        <v>28651.724111303844</v>
      </c>
      <c r="G8" s="21"/>
      <c r="H8" s="21"/>
      <c r="I8" s="21"/>
      <c r="J8" s="21">
        <f>J5</f>
        <v>542.60660408889839</v>
      </c>
      <c r="K8" s="21"/>
      <c r="L8" s="21">
        <f>L5</f>
        <v>0</v>
      </c>
      <c r="M8" s="21">
        <f>M5</f>
        <v>0</v>
      </c>
      <c r="N8" s="21">
        <f>N5</f>
        <v>9089.4539215471577</v>
      </c>
      <c r="O8" s="21">
        <f>O5</f>
        <v>98.490000000000009</v>
      </c>
      <c r="P8" s="21">
        <f>P5</f>
        <v>400.4</v>
      </c>
    </row>
    <row r="9" spans="1:16">
      <c r="B9" s="19"/>
      <c r="C9" s="19"/>
      <c r="D9" s="257"/>
      <c r="E9" s="19"/>
      <c r="F9" s="19"/>
      <c r="G9" s="19"/>
      <c r="H9" s="19"/>
      <c r="I9" s="19"/>
      <c r="J9" s="19"/>
      <c r="K9" s="19"/>
      <c r="L9" s="19"/>
      <c r="M9" s="19"/>
      <c r="N9" s="19"/>
      <c r="O9" s="19"/>
      <c r="P9" s="19"/>
    </row>
    <row r="10" spans="1:16">
      <c r="A10" s="24" t="s">
        <v>207</v>
      </c>
      <c r="B10" s="25">
        <f ca="1">'EF ele_warmte'!B12</f>
        <v>0.22170591388449939</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6214.6993839107408</v>
      </c>
      <c r="C12" s="23">
        <f ca="1">C10*C8</f>
        <v>0</v>
      </c>
      <c r="D12" s="23">
        <f>D8*D10</f>
        <v>16270.579540280691</v>
      </c>
      <c r="E12" s="23">
        <f>E10*E8</f>
        <v>212.23171934480419</v>
      </c>
      <c r="F12" s="23">
        <f>F10*F8</f>
        <v>7650.0103377181267</v>
      </c>
      <c r="G12" s="23"/>
      <c r="H12" s="23"/>
      <c r="I12" s="23"/>
      <c r="J12" s="23">
        <f>J10*J8</f>
        <v>192.08273784747001</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6041</v>
      </c>
      <c r="C26" s="36"/>
      <c r="D26" s="227"/>
    </row>
    <row r="27" spans="1:5" s="15" customFormat="1">
      <c r="A27" s="229" t="s">
        <v>697</v>
      </c>
      <c r="B27" s="37">
        <f>SUM(HH_hh_gas_aantal,HH_rest_gas_aantal)</f>
        <v>4623</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4391.8500000000004</v>
      </c>
      <c r="C31" s="34" t="s">
        <v>104</v>
      </c>
      <c r="D31" s="173"/>
    </row>
    <row r="32" spans="1:5">
      <c r="A32" s="170" t="s">
        <v>72</v>
      </c>
      <c r="B32" s="33">
        <f>IF((B21*($B$26-($B$27-0.05*$B$27)-$B$60))&lt;0,0,B21*($B$26-($B$27-0.05*$B$27)-$B$60))</f>
        <v>40.77141926246469</v>
      </c>
      <c r="C32" s="34" t="s">
        <v>104</v>
      </c>
      <c r="D32" s="173"/>
    </row>
    <row r="33" spans="1:6">
      <c r="A33" s="170" t="s">
        <v>73</v>
      </c>
      <c r="B33" s="33">
        <f>IF((B22*($B$26-($B$27-0.05*$B$27)-$B$60))&lt;0,0,B22*($B$26-($B$27-0.05*$B$27)-$B$60))</f>
        <v>274.43946996762116</v>
      </c>
      <c r="C33" s="34" t="s">
        <v>104</v>
      </c>
      <c r="D33" s="173"/>
    </row>
    <row r="34" spans="1:6">
      <c r="A34" s="170" t="s">
        <v>74</v>
      </c>
      <c r="B34" s="33">
        <f>IF((B24*($B$26-($B$27-0.05*$B$27)-$B$60))&lt;0,0,B24*($B$26-($B$27-0.05*$B$27)-$B$60))</f>
        <v>69.629013425474895</v>
      </c>
      <c r="C34" s="33">
        <f>B26*C24</f>
        <v>1235.7473685454531</v>
      </c>
      <c r="D34" s="232"/>
    </row>
    <row r="35" spans="1:6">
      <c r="A35" s="170" t="s">
        <v>76</v>
      </c>
      <c r="B35" s="33">
        <f>IF((B19*($B$26-($B$27-0.05*$B$27)-$B$60))&lt;0,0,B19*($B$26-($B$27-0.05*$B$27)-$B$60))</f>
        <v>25.876428542195956</v>
      </c>
      <c r="C35" s="33">
        <f>B35/2</f>
        <v>12.938214271097978</v>
      </c>
      <c r="D35" s="232"/>
    </row>
    <row r="36" spans="1:6">
      <c r="A36" s="170" t="s">
        <v>77</v>
      </c>
      <c r="B36" s="33">
        <f>IF((B18*($B$26-($B$27-0.05*$B$27)-$B$60))&lt;0,0,B18*($B$26-($B$27-0.05*$B$27)-$B$60))</f>
        <v>1217.4336688022431</v>
      </c>
      <c r="C36" s="34" t="s">
        <v>104</v>
      </c>
      <c r="D36" s="173"/>
    </row>
    <row r="37" spans="1:6">
      <c r="A37" s="170" t="s">
        <v>78</v>
      </c>
      <c r="B37" s="33">
        <f>B60</f>
        <v>21</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63</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21</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38358.278491785444</v>
      </c>
      <c r="C5" s="17">
        <f>IF(ISERROR('Eigen informatie GS &amp; warmtenet'!B58),0,'Eigen informatie GS &amp; warmtenet'!B58)</f>
        <v>0</v>
      </c>
      <c r="D5" s="30">
        <f>SUM(D6:D12)</f>
        <v>27347.886395740508</v>
      </c>
      <c r="E5" s="17">
        <f>SUM(E6:E12)</f>
        <v>144.96179098952783</v>
      </c>
      <c r="F5" s="17">
        <f>SUM(F6:F12)</f>
        <v>5514.5917739548941</v>
      </c>
      <c r="G5" s="18"/>
      <c r="H5" s="17"/>
      <c r="I5" s="17"/>
      <c r="J5" s="17">
        <f>SUM(J6:J12)</f>
        <v>58.879040140569508</v>
      </c>
      <c r="K5" s="17"/>
      <c r="L5" s="17"/>
      <c r="M5" s="17"/>
      <c r="N5" s="17">
        <f>SUM(N6:N12)</f>
        <v>10475.72215628728</v>
      </c>
      <c r="O5" s="17">
        <f>B38*B39*B40</f>
        <v>0</v>
      </c>
      <c r="P5" s="17">
        <f>B46*B47*B48/1000-B46*B47*B48/1000/B49</f>
        <v>0</v>
      </c>
      <c r="R5" s="32"/>
    </row>
    <row r="6" spans="1:18">
      <c r="A6" s="32" t="s">
        <v>53</v>
      </c>
      <c r="B6" s="37">
        <f>B26</f>
        <v>5559.52193139879</v>
      </c>
      <c r="C6" s="33"/>
      <c r="D6" s="37">
        <f>IF(ISERROR(TER_kantoor_gas_kWh/1000),0,TER_kantoor_gas_kWh/1000)*0.902</f>
        <v>5763.3014478113701</v>
      </c>
      <c r="E6" s="33">
        <f>$C$26*'E Balans VL '!I12/100/3.6*1000000</f>
        <v>46.927214065261765</v>
      </c>
      <c r="F6" s="33">
        <f>$C$26*('E Balans VL '!L12+'E Balans VL '!N12)/100/3.6*1000000</f>
        <v>745.47033549739149</v>
      </c>
      <c r="G6" s="34"/>
      <c r="H6" s="33"/>
      <c r="I6" s="33"/>
      <c r="J6" s="33">
        <f>$C$26*('E Balans VL '!D12+'E Balans VL '!E12)/100/3.6*1000000</f>
        <v>0</v>
      </c>
      <c r="K6" s="33"/>
      <c r="L6" s="33"/>
      <c r="M6" s="33"/>
      <c r="N6" s="33">
        <f>$C$26*'E Balans VL '!Y12/100/3.6*1000000</f>
        <v>48.894275935802362</v>
      </c>
      <c r="O6" s="33"/>
      <c r="P6" s="33"/>
      <c r="R6" s="32"/>
    </row>
    <row r="7" spans="1:18">
      <c r="A7" s="32" t="s">
        <v>52</v>
      </c>
      <c r="B7" s="37">
        <f t="shared" ref="B7:B12" si="0">B27</f>
        <v>1553.6471900854399</v>
      </c>
      <c r="C7" s="33"/>
      <c r="D7" s="37">
        <f>IF(ISERROR(TER_horeca_gas_kWh/1000),0,TER_horeca_gas_kWh/1000)*0.902</f>
        <v>1946.5419256493465</v>
      </c>
      <c r="E7" s="33">
        <f>$C$27*'E Balans VL '!I9/100/3.6*1000000</f>
        <v>20.427358807896656</v>
      </c>
      <c r="F7" s="33">
        <f>$C$27*('E Balans VL '!L9+'E Balans VL '!N9)/100/3.6*1000000</f>
        <v>390.17883461465954</v>
      </c>
      <c r="G7" s="34"/>
      <c r="H7" s="33"/>
      <c r="I7" s="33"/>
      <c r="J7" s="33">
        <f>$C$27*('E Balans VL '!D9+'E Balans VL '!E9)/100/3.6*1000000</f>
        <v>0</v>
      </c>
      <c r="K7" s="33"/>
      <c r="L7" s="33"/>
      <c r="M7" s="33"/>
      <c r="N7" s="33">
        <f>$C$27*'E Balans VL '!Y9/100/3.6*1000000</f>
        <v>0.42296137667323885</v>
      </c>
      <c r="O7" s="33"/>
      <c r="P7" s="33"/>
      <c r="R7" s="32"/>
    </row>
    <row r="8" spans="1:18">
      <c r="A8" s="6" t="s">
        <v>51</v>
      </c>
      <c r="B8" s="37">
        <f t="shared" si="0"/>
        <v>7739.6856115650598</v>
      </c>
      <c r="C8" s="33"/>
      <c r="D8" s="37">
        <f>IF(ISERROR(TER_handel_gas_kWh/1000),0,TER_handel_gas_kWh/1000)*0.902</f>
        <v>7513.6178452147842</v>
      </c>
      <c r="E8" s="33">
        <f>$C$28*'E Balans VL '!I13/100/3.6*1000000</f>
        <v>33.894930483793772</v>
      </c>
      <c r="F8" s="33">
        <f>$C$28*('E Balans VL '!L13+'E Balans VL '!N13)/100/3.6*1000000</f>
        <v>520.22004076799851</v>
      </c>
      <c r="G8" s="34"/>
      <c r="H8" s="33"/>
      <c r="I8" s="33"/>
      <c r="J8" s="33">
        <f>$C$28*('E Balans VL '!D13+'E Balans VL '!E13)/100/3.6*1000000</f>
        <v>0</v>
      </c>
      <c r="K8" s="33"/>
      <c r="L8" s="33"/>
      <c r="M8" s="33"/>
      <c r="N8" s="33">
        <f>$C$28*'E Balans VL '!Y13/100/3.6*1000000</f>
        <v>22.865007070735636</v>
      </c>
      <c r="O8" s="33"/>
      <c r="P8" s="33"/>
      <c r="R8" s="32"/>
    </row>
    <row r="9" spans="1:18">
      <c r="A9" s="32" t="s">
        <v>50</v>
      </c>
      <c r="B9" s="37">
        <f t="shared" si="0"/>
        <v>1016.64000002416</v>
      </c>
      <c r="C9" s="33"/>
      <c r="D9" s="37">
        <f>IF(ISERROR(TER_gezond_gas_kWh/1000),0,TER_gezond_gas_kWh/1000)*0.902</f>
        <v>485.47712196609456</v>
      </c>
      <c r="E9" s="33">
        <f>$C$29*'E Balans VL '!I10/100/3.6*1000000</f>
        <v>0.34962698450926888</v>
      </c>
      <c r="F9" s="33">
        <f>$C$29*('E Balans VL '!L10+'E Balans VL '!N10)/100/3.6*1000000</f>
        <v>88.858340347127353</v>
      </c>
      <c r="G9" s="34"/>
      <c r="H9" s="33"/>
      <c r="I9" s="33"/>
      <c r="J9" s="33">
        <f>$C$29*('E Balans VL '!D10+'E Balans VL '!E10)/100/3.6*1000000</f>
        <v>42.171099057878429</v>
      </c>
      <c r="K9" s="33"/>
      <c r="L9" s="33"/>
      <c r="M9" s="33"/>
      <c r="N9" s="33">
        <f>$C$29*'E Balans VL '!Y10/100/3.6*1000000</f>
        <v>10.65909471369501</v>
      </c>
      <c r="O9" s="33"/>
      <c r="P9" s="33"/>
      <c r="R9" s="32"/>
    </row>
    <row r="10" spans="1:18">
      <c r="A10" s="32" t="s">
        <v>49</v>
      </c>
      <c r="B10" s="37">
        <f t="shared" si="0"/>
        <v>16836.620595306402</v>
      </c>
      <c r="C10" s="33"/>
      <c r="D10" s="37">
        <f>IF(ISERROR(TER_ander_gas_kWh/1000),0,TER_ander_gas_kWh/1000)*0.902</f>
        <v>508.69171234321794</v>
      </c>
      <c r="E10" s="33">
        <f>$C$30*'E Balans VL '!I14/100/3.6*1000000</f>
        <v>10.013352600464476</v>
      </c>
      <c r="F10" s="33">
        <f>$C$30*('E Balans VL '!L14+'E Balans VL '!N14)/100/3.6*1000000</f>
        <v>2980.9765259921637</v>
      </c>
      <c r="G10" s="34"/>
      <c r="H10" s="33"/>
      <c r="I10" s="33"/>
      <c r="J10" s="33">
        <f>$C$30*('E Balans VL '!D14+'E Balans VL '!E14)/100/3.6*1000000</f>
        <v>0</v>
      </c>
      <c r="K10" s="33"/>
      <c r="L10" s="33"/>
      <c r="M10" s="33"/>
      <c r="N10" s="33">
        <f>$C$30*'E Balans VL '!Y14/100/3.6*1000000</f>
        <v>9997.0113382705713</v>
      </c>
      <c r="O10" s="33"/>
      <c r="P10" s="33"/>
      <c r="R10" s="32"/>
    </row>
    <row r="11" spans="1:18">
      <c r="A11" s="32" t="s">
        <v>54</v>
      </c>
      <c r="B11" s="37">
        <f t="shared" si="0"/>
        <v>165.59876015329201</v>
      </c>
      <c r="C11" s="33"/>
      <c r="D11" s="37">
        <f>IF(ISERROR(TER_onderwijs_gas_kWh/1000),0,TER_onderwijs_gas_kWh/1000)*0.902</f>
        <v>674.2322532651217</v>
      </c>
      <c r="E11" s="33">
        <f>$C$31*'E Balans VL '!I11/100/3.6*1000000</f>
        <v>0.11014818474308115</v>
      </c>
      <c r="F11" s="33">
        <f>$C$31*('E Balans VL '!L11+'E Balans VL '!N11)/100/3.6*1000000</f>
        <v>53.054616092184382</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5486.5644032522996</v>
      </c>
      <c r="C12" s="33"/>
      <c r="D12" s="37">
        <f>IF(ISERROR(TER_rest_gas_kWh/1000),0,TER_rest_gas_kWh/1000)*0.902</f>
        <v>10456.024089490573</v>
      </c>
      <c r="E12" s="33">
        <f>$C$32*'E Balans VL '!I8/100/3.6*1000000</f>
        <v>33.239159862858813</v>
      </c>
      <c r="F12" s="33">
        <f>$C$32*('E Balans VL '!L8+'E Balans VL '!N8)/100/3.6*1000000</f>
        <v>735.83308064336973</v>
      </c>
      <c r="G12" s="34"/>
      <c r="H12" s="33"/>
      <c r="I12" s="33"/>
      <c r="J12" s="33">
        <f>$C$32*('E Balans VL '!D8+'E Balans VL '!E8)/100/3.6*1000000</f>
        <v>16.707941082691079</v>
      </c>
      <c r="K12" s="33"/>
      <c r="L12" s="33"/>
      <c r="M12" s="33"/>
      <c r="N12" s="33">
        <f>$C$32*'E Balans VL '!Y8/100/3.6*1000000</f>
        <v>395.86947891980395</v>
      </c>
      <c r="O12" s="33"/>
      <c r="P12" s="33"/>
      <c r="R12" s="32"/>
    </row>
    <row r="13" spans="1:18">
      <c r="A13" s="16" t="s">
        <v>483</v>
      </c>
      <c r="B13" s="245">
        <f ca="1">'lokale energieproductie'!N44+'lokale energieproductie'!N37</f>
        <v>0</v>
      </c>
      <c r="C13" s="245">
        <f ca="1">'lokale energieproductie'!O44+'lokale energieproductie'!O37</f>
        <v>0</v>
      </c>
      <c r="D13" s="305">
        <f ca="1">('lokale energieproductie'!P37+'lokale energieproductie'!P44)*(-1)</f>
        <v>0</v>
      </c>
      <c r="E13" s="246"/>
      <c r="F13" s="305">
        <f ca="1">('lokale energieproductie'!S37+'lokale energieproductie'!S44)*(-1)</f>
        <v>0</v>
      </c>
      <c r="G13" s="247"/>
      <c r="H13" s="246"/>
      <c r="I13" s="246"/>
      <c r="J13" s="246"/>
      <c r="K13" s="246"/>
      <c r="L13" s="305">
        <f ca="1">('lokale energieproductie'!U37+'lokale energieproductie'!T37+'lokale energieproductie'!U44+'lokale energieproductie'!T44)*(-1)</f>
        <v>0</v>
      </c>
      <c r="M13" s="246"/>
      <c r="N13" s="305">
        <f ca="1">('lokale energieproductie'!Q37+'lokale energieproductie'!R37+'lokale energieproductie'!V37+'lokale energieproductie'!Q44+'lokale energieproductie'!R44+'lokale energieproductie'!V44)*(-1)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38358.278491785444</v>
      </c>
      <c r="C16" s="21">
        <f t="shared" ca="1" si="1"/>
        <v>0</v>
      </c>
      <c r="D16" s="21">
        <f t="shared" ca="1" si="1"/>
        <v>27347.886395740508</v>
      </c>
      <c r="E16" s="21">
        <f t="shared" si="1"/>
        <v>144.96179098952783</v>
      </c>
      <c r="F16" s="21">
        <f t="shared" ca="1" si="1"/>
        <v>5514.5917739548941</v>
      </c>
      <c r="G16" s="21">
        <f t="shared" si="1"/>
        <v>0</v>
      </c>
      <c r="H16" s="21">
        <f t="shared" si="1"/>
        <v>0</v>
      </c>
      <c r="I16" s="21">
        <f t="shared" si="1"/>
        <v>0</v>
      </c>
      <c r="J16" s="21">
        <f t="shared" si="1"/>
        <v>58.879040140569508</v>
      </c>
      <c r="K16" s="21">
        <f t="shared" si="1"/>
        <v>0</v>
      </c>
      <c r="L16" s="21">
        <f t="shared" ca="1" si="1"/>
        <v>0</v>
      </c>
      <c r="M16" s="21">
        <f t="shared" si="1"/>
        <v>0</v>
      </c>
      <c r="N16" s="21">
        <f t="shared" ca="1" si="1"/>
        <v>10475.72215628728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0.22170591388449939</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8504.2571880574287</v>
      </c>
      <c r="C20" s="23">
        <f t="shared" ref="C20:P20" ca="1" si="2">C16*C18</f>
        <v>0</v>
      </c>
      <c r="D20" s="23">
        <f t="shared" ca="1" si="2"/>
        <v>5524.2730519395827</v>
      </c>
      <c r="E20" s="23">
        <f t="shared" si="2"/>
        <v>32.906326554622815</v>
      </c>
      <c r="F20" s="23">
        <f t="shared" ca="1" si="2"/>
        <v>1472.3960036459569</v>
      </c>
      <c r="G20" s="23">
        <f t="shared" si="2"/>
        <v>0</v>
      </c>
      <c r="H20" s="23">
        <f t="shared" si="2"/>
        <v>0</v>
      </c>
      <c r="I20" s="23">
        <f t="shared" si="2"/>
        <v>0</v>
      </c>
      <c r="J20" s="23">
        <f t="shared" si="2"/>
        <v>20.843180209761606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5559.52193139879</v>
      </c>
      <c r="C26" s="39">
        <f>IF(ISERROR(B26*3.6/1000000/'E Balans VL '!Z12*100),0,B26*3.6/1000000/'E Balans VL '!Z12*100)</f>
        <v>0.11652067776443435</v>
      </c>
      <c r="D26" s="235" t="s">
        <v>647</v>
      </c>
      <c r="F26" s="6"/>
    </row>
    <row r="27" spans="1:18">
      <c r="A27" s="230" t="s">
        <v>52</v>
      </c>
      <c r="B27" s="33">
        <f>IF(ISERROR(TER_horeca_ele_kWh/1000),0,TER_horeca_ele_kWh/1000)</f>
        <v>1553.6471900854399</v>
      </c>
      <c r="C27" s="39">
        <f>IF(ISERROR(B27*3.6/1000000/'E Balans VL '!Z9*100),0,B27*3.6/1000000/'E Balans VL '!Z9*100)</f>
        <v>0.11911786272690471</v>
      </c>
      <c r="D27" s="235" t="s">
        <v>647</v>
      </c>
      <c r="F27" s="6"/>
    </row>
    <row r="28" spans="1:18">
      <c r="A28" s="170" t="s">
        <v>51</v>
      </c>
      <c r="B28" s="33">
        <f>IF(ISERROR(TER_handel_ele_kWh/1000),0,TER_handel_ele_kWh/1000)</f>
        <v>7739.6856115650598</v>
      </c>
      <c r="C28" s="39">
        <f>IF(ISERROR(B28*3.6/1000000/'E Balans VL '!Z13*100),0,B28*3.6/1000000/'E Balans VL '!Z13*100)</f>
        <v>0.21834794883871497</v>
      </c>
      <c r="D28" s="235" t="s">
        <v>647</v>
      </c>
      <c r="F28" s="6"/>
    </row>
    <row r="29" spans="1:18">
      <c r="A29" s="230" t="s">
        <v>50</v>
      </c>
      <c r="B29" s="33">
        <f>IF(ISERROR(TER_gezond_ele_kWh/1000),0,TER_gezond_ele_kWh/1000)</f>
        <v>1016.64000002416</v>
      </c>
      <c r="C29" s="39">
        <f>IF(ISERROR(B29*3.6/1000000/'E Balans VL '!Z10*100),0,B29*3.6/1000000/'E Balans VL '!Z10*100)</f>
        <v>0.11288522802082161</v>
      </c>
      <c r="D29" s="235" t="s">
        <v>647</v>
      </c>
      <c r="F29" s="6"/>
    </row>
    <row r="30" spans="1:18">
      <c r="A30" s="230" t="s">
        <v>49</v>
      </c>
      <c r="B30" s="33">
        <f>IF(ISERROR(TER_ander_ele_kWh/1000),0,TER_ander_ele_kWh/1000)</f>
        <v>16836.620595306402</v>
      </c>
      <c r="C30" s="39">
        <f>IF(ISERROR(B30*3.6/1000000/'E Balans VL '!Z14*100),0,B30*3.6/1000000/'E Balans VL '!Z14*100)</f>
        <v>1.2148535926898769</v>
      </c>
      <c r="D30" s="235" t="s">
        <v>647</v>
      </c>
      <c r="F30" s="6"/>
    </row>
    <row r="31" spans="1:18">
      <c r="A31" s="230" t="s">
        <v>54</v>
      </c>
      <c r="B31" s="33">
        <f>IF(ISERROR(TER_onderwijs_ele_kWh/1000),0,TER_onderwijs_ele_kWh/1000)</f>
        <v>165.59876015329201</v>
      </c>
      <c r="C31" s="39">
        <f>IF(ISERROR(B31*3.6/1000000/'E Balans VL '!Z11*100),0,B31*3.6/1000000/'E Balans VL '!Z11*100)</f>
        <v>4.5902664589473313E-2</v>
      </c>
      <c r="D31" s="235" t="s">
        <v>647</v>
      </c>
    </row>
    <row r="32" spans="1:18">
      <c r="A32" s="230" t="s">
        <v>249</v>
      </c>
      <c r="B32" s="33">
        <f>IF(ISERROR(TER_rest_ele_kWh/1000),0,TER_rest_ele_kWh/1000)</f>
        <v>5486.5644032522996</v>
      </c>
      <c r="C32" s="39">
        <f>IF(ISERROR(B32*3.6/1000000/'E Balans VL '!Z8*100),0,B32*3.6/1000000/'E Balans VL '!Z8*100)</f>
        <v>4.4724462511386148E-2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15939.231644200196</v>
      </c>
      <c r="C5" s="17">
        <f>IF(ISERROR('Eigen informatie GS &amp; warmtenet'!B59),0,'Eigen informatie GS &amp; warmtenet'!B59)</f>
        <v>0</v>
      </c>
      <c r="D5" s="30">
        <f>SUM(D6:D15)</f>
        <v>55560.432258903253</v>
      </c>
      <c r="E5" s="17">
        <f>SUM(E6:E15)</f>
        <v>1110.5859301949745</v>
      </c>
      <c r="F5" s="17">
        <f>SUM(F6:F15)</f>
        <v>4904.2843208884551</v>
      </c>
      <c r="G5" s="18"/>
      <c r="H5" s="17"/>
      <c r="I5" s="17"/>
      <c r="J5" s="17">
        <f>SUM(J6:J15)</f>
        <v>41.411328109521889</v>
      </c>
      <c r="K5" s="17"/>
      <c r="L5" s="17"/>
      <c r="M5" s="17"/>
      <c r="N5" s="17">
        <f>SUM(N6:N15)</f>
        <v>773.19672479925487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97.492628551514798</v>
      </c>
      <c r="C8" s="33"/>
      <c r="D8" s="37">
        <f>IF( ISERROR(IND_metaal_Gas_kWH/1000),0,IND_metaal_Gas_kWH/1000)*0.902</f>
        <v>0</v>
      </c>
      <c r="E8" s="33">
        <f>C30*'E Balans VL '!I18/100/3.6*1000000</f>
        <v>2.8003542344337982</v>
      </c>
      <c r="F8" s="33">
        <f>C30*'E Balans VL '!L18/100/3.6*1000000+C30*'E Balans VL '!N18/100/3.6*1000000</f>
        <v>25.004984170750273</v>
      </c>
      <c r="G8" s="34"/>
      <c r="H8" s="33"/>
      <c r="I8" s="33"/>
      <c r="J8" s="40">
        <f>C30*'E Balans VL '!D18/100/3.6*1000000+C30*'E Balans VL '!E18/100/3.6*1000000</f>
        <v>0</v>
      </c>
      <c r="K8" s="33"/>
      <c r="L8" s="33"/>
      <c r="M8" s="33"/>
      <c r="N8" s="33">
        <f>C30*'E Balans VL '!Y18/100/3.6*1000000</f>
        <v>2.6471238758238766</v>
      </c>
      <c r="O8" s="33"/>
      <c r="P8" s="33"/>
      <c r="R8" s="32"/>
    </row>
    <row r="9" spans="1:18">
      <c r="A9" s="6" t="s">
        <v>32</v>
      </c>
      <c r="B9" s="37">
        <f t="shared" si="0"/>
        <v>1393.9837797863199</v>
      </c>
      <c r="C9" s="33"/>
      <c r="D9" s="37">
        <f>IF( ISERROR(IND_andere_gas_kWh/1000),0,IND_andere_gas_kWh/1000)*0.902</f>
        <v>1372.4943068624466</v>
      </c>
      <c r="E9" s="33">
        <f>C31*'E Balans VL '!I19/100/3.6*1000000</f>
        <v>377.31713525258255</v>
      </c>
      <c r="F9" s="33">
        <f>C31*'E Balans VL '!L19/100/3.6*1000000+C31*'E Balans VL '!N19/100/3.6*1000000</f>
        <v>928.54071163588901</v>
      </c>
      <c r="G9" s="34"/>
      <c r="H9" s="33"/>
      <c r="I9" s="33"/>
      <c r="J9" s="40">
        <f>C31*'E Balans VL '!D19/100/3.6*1000000+C31*'E Balans VL '!E19/100/3.6*1000000</f>
        <v>0</v>
      </c>
      <c r="K9" s="33"/>
      <c r="L9" s="33"/>
      <c r="M9" s="33"/>
      <c r="N9" s="33">
        <f>C31*'E Balans VL '!Y19/100/3.6*1000000</f>
        <v>117.85209449286766</v>
      </c>
      <c r="O9" s="33"/>
      <c r="P9" s="33"/>
      <c r="R9" s="32"/>
    </row>
    <row r="10" spans="1:18">
      <c r="A10" s="6" t="s">
        <v>40</v>
      </c>
      <c r="B10" s="37">
        <f t="shared" si="0"/>
        <v>248.27653017839998</v>
      </c>
      <c r="C10" s="33"/>
      <c r="D10" s="37">
        <f>IF( ISERROR(IND_voed_gas_kWh/1000),0,IND_voed_gas_kWh/1000)*0.902</f>
        <v>425.24350349332826</v>
      </c>
      <c r="E10" s="33">
        <f>C32*'E Balans VL '!I20/100/3.6*1000000</f>
        <v>20.250004201835797</v>
      </c>
      <c r="F10" s="33">
        <f>C32*'E Balans VL '!L20/100/3.6*1000000+C32*'E Balans VL '!N20/100/3.6*1000000</f>
        <v>370.20283211653606</v>
      </c>
      <c r="G10" s="34"/>
      <c r="H10" s="33"/>
      <c r="I10" s="33"/>
      <c r="J10" s="40">
        <f>C32*'E Balans VL '!D20/100/3.6*1000000+C32*'E Balans VL '!E20/100/3.6*1000000</f>
        <v>3.2843971269811995E-3</v>
      </c>
      <c r="K10" s="33"/>
      <c r="L10" s="33"/>
      <c r="M10" s="33"/>
      <c r="N10" s="33">
        <f>C32*'E Balans VL '!Y20/100/3.6*1000000</f>
        <v>72.934883832315123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1707.23305001576</v>
      </c>
      <c r="C12" s="33"/>
      <c r="D12" s="37">
        <f>IF( ISERROR(IND_min_gas_kWh/1000),0,IND_min_gas_kWh/1000)*0.902</f>
        <v>0</v>
      </c>
      <c r="E12" s="33">
        <f>C34*'E Balans VL '!I22/100/3.6*1000000</f>
        <v>13.298973469375138</v>
      </c>
      <c r="F12" s="33">
        <f>C34*'E Balans VL '!L22/100/3.6*1000000+C34*'E Balans VL '!N22/100/3.6*1000000</f>
        <v>643.86339379075275</v>
      </c>
      <c r="G12" s="34"/>
      <c r="H12" s="33"/>
      <c r="I12" s="33"/>
      <c r="J12" s="40">
        <f>C34*'E Balans VL '!D22/100/3.6*1000000+C34*'E Balans VL '!E22/100/3.6*1000000</f>
        <v>9.3896325067033022</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12492.245655668201</v>
      </c>
      <c r="C15" s="33"/>
      <c r="D15" s="37">
        <f>IF( ISERROR(IND_rest_gas_kWh/1000),0,IND_rest_gas_kWh/1000)*0.902</f>
        <v>53762.694448547474</v>
      </c>
      <c r="E15" s="33">
        <f>C37*'E Balans VL '!I15/100/3.6*1000000</f>
        <v>696.91946303674717</v>
      </c>
      <c r="F15" s="33">
        <f>C37*'E Balans VL '!L15/100/3.6*1000000+C37*'E Balans VL '!N15/100/3.6*1000000</f>
        <v>2936.6723991745266</v>
      </c>
      <c r="G15" s="34"/>
      <c r="H15" s="33"/>
      <c r="I15" s="33"/>
      <c r="J15" s="40">
        <f>C37*'E Balans VL '!D15/100/3.6*1000000+C37*'E Balans VL '!E15/100/3.6*1000000</f>
        <v>32.018411205691606</v>
      </c>
      <c r="K15" s="33"/>
      <c r="L15" s="33"/>
      <c r="M15" s="33"/>
      <c r="N15" s="33">
        <f>C37*'E Balans VL '!Y15/100/3.6*1000000</f>
        <v>579.76262259824819</v>
      </c>
      <c r="O15" s="33"/>
      <c r="P15" s="33"/>
      <c r="R15" s="32"/>
    </row>
    <row r="16" spans="1:18">
      <c r="A16" s="16" t="s">
        <v>483</v>
      </c>
      <c r="B16" s="245">
        <f>'lokale energieproductie'!N43+'lokale energieproductie'!N36</f>
        <v>0</v>
      </c>
      <c r="C16" s="245">
        <f>'lokale energieproductie'!O43+'lokale energieproductie'!O36</f>
        <v>0</v>
      </c>
      <c r="D16" s="305">
        <f>('lokale energieproductie'!P36+'lokale energieproductie'!P43)*(-1)</f>
        <v>0</v>
      </c>
      <c r="E16" s="246"/>
      <c r="F16" s="305">
        <f>('lokale energieproductie'!S36+'lokale energieproductie'!S43)*(-1)</f>
        <v>0</v>
      </c>
      <c r="G16" s="247"/>
      <c r="H16" s="246"/>
      <c r="I16" s="246"/>
      <c r="J16" s="246"/>
      <c r="K16" s="246"/>
      <c r="L16" s="305">
        <f>('lokale energieproductie'!T36+'lokale energieproductie'!U36+'lokale energieproductie'!T43+'lokale energieproductie'!U43)*(-1)</f>
        <v>0</v>
      </c>
      <c r="M16" s="246"/>
      <c r="N16" s="305">
        <f>('lokale energieproductie'!Q36+'lokale energieproductie'!R36+'lokale energieproductie'!V36+'lokale energieproductie'!Q43+'lokale energieproductie'!R43+'lokale energieproductie'!V43)*(-1)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15939.231644200196</v>
      </c>
      <c r="C18" s="21">
        <f>C5+C16</f>
        <v>0</v>
      </c>
      <c r="D18" s="21">
        <f>MAX((D5+D16),0)</f>
        <v>55560.432258903253</v>
      </c>
      <c r="E18" s="21">
        <f>MAX((E5+E16),0)</f>
        <v>1110.5859301949745</v>
      </c>
      <c r="F18" s="21">
        <f>MAX((F5+F16),0)</f>
        <v>4904.2843208884551</v>
      </c>
      <c r="G18" s="21"/>
      <c r="H18" s="21"/>
      <c r="I18" s="21"/>
      <c r="J18" s="21">
        <f>MAX((J5+J16),0)</f>
        <v>41.411328109521889</v>
      </c>
      <c r="K18" s="21"/>
      <c r="L18" s="21">
        <f>MAX((L5+L16),0)</f>
        <v>0</v>
      </c>
      <c r="M18" s="21"/>
      <c r="N18" s="21">
        <f>MAX((N5+N16),0)</f>
        <v>773.19672479925487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0.22170591388449939</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3533.8219182941361</v>
      </c>
      <c r="C22" s="23">
        <f ca="1">C18*C20</f>
        <v>0</v>
      </c>
      <c r="D22" s="23">
        <f>D18*D20</f>
        <v>11223.207316298458</v>
      </c>
      <c r="E22" s="23">
        <f>E18*E20</f>
        <v>252.10300615425922</v>
      </c>
      <c r="F22" s="23">
        <f>F18*F20</f>
        <v>1309.4439136772176</v>
      </c>
      <c r="G22" s="23"/>
      <c r="H22" s="23"/>
      <c r="I22" s="23"/>
      <c r="J22" s="23">
        <f>J18*J20</f>
        <v>14.659610150770748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97.492628551514798</v>
      </c>
      <c r="C30" s="39">
        <f>IF(ISERROR(B30*3.6/1000000/'E Balans VL '!Z18*100),0,B30*3.6/1000000/'E Balans VL '!Z18*100)</f>
        <v>9.5930257772994885E-3</v>
      </c>
      <c r="D30" s="235" t="s">
        <v>647</v>
      </c>
    </row>
    <row r="31" spans="1:18">
      <c r="A31" s="6" t="s">
        <v>32</v>
      </c>
      <c r="B31" s="37">
        <f>IF( ISERROR(IND_ander_ele_kWh/1000),0,IND_ander_ele_kWh/1000)</f>
        <v>1393.9837797863199</v>
      </c>
      <c r="C31" s="39">
        <f>IF(ISERROR(B31*3.6/1000000/'E Balans VL '!Z19*100),0,B31*3.6/1000000/'E Balans VL '!Z19*100)</f>
        <v>6.0706881639786728E-2</v>
      </c>
      <c r="D31" s="235" t="s">
        <v>647</v>
      </c>
    </row>
    <row r="32" spans="1:18">
      <c r="A32" s="170" t="s">
        <v>40</v>
      </c>
      <c r="B32" s="37">
        <f>IF( ISERROR(IND_voed_ele_kWh/1000),0,IND_voed_ele_kWh/1000)</f>
        <v>248.27653017839998</v>
      </c>
      <c r="C32" s="39">
        <f>IF(ISERROR(B32*3.6/1000000/'E Balans VL '!Z20*100),0,B32*3.6/1000000/'E Balans VL '!Z20*100)</f>
        <v>4.710689106427033E-2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1707.23305001576</v>
      </c>
      <c r="C34" s="39">
        <f>IF(ISERROR(B34*3.6/1000000/'E Balans VL '!Z22*100),0,B34*3.6/1000000/'E Balans VL '!Z22*100)</f>
        <v>0.24005411033214755</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12492.245655668201</v>
      </c>
      <c r="C37" s="39">
        <f>IF(ISERROR(B37*3.6/1000000/'E Balans VL '!Z15*100),0,B37*3.6/1000000/'E Balans VL '!Z15*100)</f>
        <v>9.6268096417350957E-2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1561.6922980357642</v>
      </c>
      <c r="C5" s="17">
        <f>'Eigen informatie GS &amp; warmtenet'!B60</f>
        <v>0</v>
      </c>
      <c r="D5" s="30">
        <f>IF(ISERROR(SUM(LB_lb_gas_kWh,LB_rest_gas_kWh)/1000),0,SUM(LB_lb_gas_kWh,LB_rest_gas_kWh)/1000)*0.902</f>
        <v>142139.03573717765</v>
      </c>
      <c r="E5" s="17">
        <f>B17*'E Balans VL '!I25/3.6*1000000/100</f>
        <v>32.428087922286615</v>
      </c>
      <c r="F5" s="17">
        <f>B17*('E Balans VL '!L25/3.6*1000000+'E Balans VL '!N25/3.6*1000000)/100</f>
        <v>5519.0604310843946</v>
      </c>
      <c r="G5" s="18"/>
      <c r="H5" s="17"/>
      <c r="I5" s="17"/>
      <c r="J5" s="17">
        <f>('E Balans VL '!D25+'E Balans VL '!E25)/3.6*1000000*landbouw!B17/100</f>
        <v>179.1162291458952</v>
      </c>
      <c r="K5" s="17"/>
      <c r="L5" s="17">
        <f>L6*(-1)</f>
        <v>0</v>
      </c>
      <c r="M5" s="17"/>
      <c r="N5" s="17">
        <f>N6*(-1)</f>
        <v>0</v>
      </c>
      <c r="O5" s="17"/>
      <c r="P5" s="17"/>
      <c r="R5" s="32"/>
    </row>
    <row r="6" spans="1:18">
      <c r="A6" s="16" t="s">
        <v>483</v>
      </c>
      <c r="B6" s="17" t="s">
        <v>204</v>
      </c>
      <c r="C6" s="17">
        <f>'lokale energieproductie'!O45+'lokale energieproductie'!O38</f>
        <v>70707.857142857145</v>
      </c>
      <c r="D6" s="305">
        <f>('lokale energieproductie'!P38+'lokale energieproductie'!P45)*(-1)</f>
        <v>-141415.71428571429</v>
      </c>
      <c r="E6" s="246"/>
      <c r="F6" s="305">
        <f>('lokale energieproductie'!S38+'lokale energieproductie'!S45)*(-1)</f>
        <v>0</v>
      </c>
      <c r="G6" s="247"/>
      <c r="H6" s="246"/>
      <c r="I6" s="246"/>
      <c r="J6" s="246"/>
      <c r="K6" s="246"/>
      <c r="L6" s="305">
        <f>('lokale energieproductie'!T38+'lokale energieproductie'!U38+'lokale energieproductie'!T45+'lokale energieproductie'!U45)*(-1)</f>
        <v>0</v>
      </c>
      <c r="M6" s="246"/>
      <c r="N6" s="978">
        <f>('lokale energieproductie'!V38+'lokale energieproductie'!R38+'lokale energieproductie'!Q38+'lokale energieproductie'!Q45+'lokale energieproductie'!R45+'lokale energieproductie'!V45)*(-1)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1561.6922980357642</v>
      </c>
      <c r="C8" s="21">
        <f>C5+C6</f>
        <v>70707.857142857145</v>
      </c>
      <c r="D8" s="21">
        <f>MAX((D5+D6),0)</f>
        <v>723.32145146335824</v>
      </c>
      <c r="E8" s="21">
        <f>MAX((E5+E6),0)</f>
        <v>32.428087922286615</v>
      </c>
      <c r="F8" s="21">
        <f>MAX((F5+F6),0)</f>
        <v>5519.0604310843946</v>
      </c>
      <c r="G8" s="21"/>
      <c r="H8" s="21"/>
      <c r="I8" s="21"/>
      <c r="J8" s="21">
        <f>MAX((J5+J6),0)</f>
        <v>179.1162291458952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0.22170591388449939</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346.23641814240312</v>
      </c>
      <c r="C12" s="23">
        <f ca="1">C8*C10</f>
        <v>16803.514285714289</v>
      </c>
      <c r="D12" s="23">
        <f>D8*D10</f>
        <v>146.11093319559836</v>
      </c>
      <c r="E12" s="23">
        <f>E8*E10</f>
        <v>7.3611759583590617</v>
      </c>
      <c r="F12" s="23">
        <f>F8*F10</f>
        <v>1473.5891350995335</v>
      </c>
      <c r="G12" s="23"/>
      <c r="H12" s="23"/>
      <c r="I12" s="23"/>
      <c r="J12" s="23">
        <f>J8*J10</f>
        <v>63.407145117646898</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0.21780685389189164</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114.81231754697289</v>
      </c>
      <c r="C26" s="245">
        <f>B26*'GWP N2O_CH4'!B5</f>
        <v>2411.0586684864306</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25.479994543439602</v>
      </c>
      <c r="C27" s="245">
        <f>B27*'GWP N2O_CH4'!B5</f>
        <v>535.07988541223165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1.5006778019522535</v>
      </c>
      <c r="C28" s="245">
        <f>B28*'GWP N2O_CH4'!B4</f>
        <v>465.2101186051986</v>
      </c>
      <c r="D28" s="50"/>
    </row>
    <row r="29" spans="1:4">
      <c r="A29" s="41" t="s">
        <v>266</v>
      </c>
      <c r="B29" s="245">
        <f>B34*'ha_N2O bodem landbouw'!B4</f>
        <v>3.3714492721140243</v>
      </c>
      <c r="C29" s="245">
        <f>B29*'GWP N2O_CH4'!B4</f>
        <v>1045.1492743553476</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8.4181719478549277E-4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7.6007280219010193E-5</v>
      </c>
      <c r="C5" s="434" t="s">
        <v>204</v>
      </c>
      <c r="D5" s="419">
        <f>SUM(D6:D11)</f>
        <v>6.46719635046901E-5</v>
      </c>
      <c r="E5" s="419">
        <f>SUM(E6:E11)</f>
        <v>2.6015260145915283E-3</v>
      </c>
      <c r="F5" s="432" t="s">
        <v>204</v>
      </c>
      <c r="G5" s="419">
        <f>SUM(G6:G11)</f>
        <v>0.77531581746827716</v>
      </c>
      <c r="H5" s="419">
        <f>SUM(H6:H11)</f>
        <v>0.12217952376801593</v>
      </c>
      <c r="I5" s="434" t="s">
        <v>204</v>
      </c>
      <c r="J5" s="434" t="s">
        <v>204</v>
      </c>
      <c r="K5" s="434" t="s">
        <v>204</v>
      </c>
      <c r="L5" s="434" t="s">
        <v>204</v>
      </c>
      <c r="M5" s="419">
        <f>SUM(M6:M11)</f>
        <v>4.057577184407133E-2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3.1411921849360276E-5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2.7862624206503816E-5</v>
      </c>
      <c r="E6" s="836">
        <f>vkm_GW_PW*SUMIFS(TableVerdeelsleutelVkm[LPG],TableVerdeelsleutelVkm[Voertuigtype],"Lichte voertuigen")*SUMIFS(TableECFTransport[EnergieConsumptieFactor (PJ per km)],TableECFTransport[Index],CONCATENATE($A6,"_LPG_LPG"))</f>
        <v>1.0005238394508592E-3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0.19889856749722992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5.1344454824832034E-2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1.1321041612506539E-2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8.0243712876227019E-7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0.12556947953258227</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3.3031791599174937E-6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5.6696755796953992E-3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2.4597892550841034E-6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3.4326969712240981E-6</v>
      </c>
      <c r="E8" s="422">
        <f>vkm_NGW_PW*SUMIFS(TableVerdeelsleutelVkm[LPG],TableVerdeelsleutelVkm[Voertuigtype],"Lichte voertuigen")*SUMIFS(TableECFTransport[EnergieConsumptieFactor (PJ per km)],TableECFTransport[Index],CONCATENATE($A8,"_LPG_LPG"))</f>
        <v>1.1702578995247423E-4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2.1948010232734988E-2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6.0632577680193225E-3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1.2673731652767751E-3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8.4179312828878244E-10</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1.6920707016678224E-4</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4.1825672930337962E-9</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7.639974777809661E-6</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4.0268903017674418E-5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3.3376642326962195E-5</v>
      </c>
      <c r="E10" s="422">
        <f>vkm_SW_PW*SUMIFS(TableVerdeelsleutelVkm[LPG],TableVerdeelsleutelVkm[Voertuigtype],"Lichte voertuigen")*SUMIFS(TableECFTransport[EnergieConsumptieFactor (PJ per km)],TableECFTransport[Index],CONCATENATE($A10,"_LPG_LPG"))</f>
        <v>1.4839763851881946E-3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0.27018210591804304</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6.4763998313664445E-2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1.5151294185576335E-2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1.0633871750008343E-6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0.15854844721752012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4.5054997729160991E-6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7.1587473262384764E-3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21.113133394169498</v>
      </c>
      <c r="C14" s="21"/>
      <c r="D14" s="21">
        <f t="shared" ref="D14:M14" si="0">((D5)*10^9/3600)+D12</f>
        <v>17.964434306858362</v>
      </c>
      <c r="E14" s="21">
        <f t="shared" si="0"/>
        <v>722.64611516431353</v>
      </c>
      <c r="F14" s="21"/>
      <c r="G14" s="21">
        <f t="shared" si="0"/>
        <v>215365.50485229923</v>
      </c>
      <c r="H14" s="21">
        <f t="shared" si="0"/>
        <v>33938.756602226647</v>
      </c>
      <c r="I14" s="21"/>
      <c r="J14" s="21"/>
      <c r="K14" s="21"/>
      <c r="L14" s="21"/>
      <c r="M14" s="21">
        <f t="shared" si="0"/>
        <v>11271.047734464259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0.22170591388449939</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4.6809065341196909</v>
      </c>
      <c r="C18" s="23"/>
      <c r="D18" s="23">
        <f t="shared" ref="D18:M18" si="1">D14*D16</f>
        <v>3.6288157299853894</v>
      </c>
      <c r="E18" s="23">
        <f t="shared" si="1"/>
        <v>164.04066814229918</v>
      </c>
      <c r="F18" s="23"/>
      <c r="G18" s="23">
        <f t="shared" si="1"/>
        <v>57502.589795563894</v>
      </c>
      <c r="H18" s="23">
        <f t="shared" si="1"/>
        <v>8450.7503939544349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3.9204465617030466E-5</v>
      </c>
      <c r="C50" s="316">
        <f t="shared" ref="C50:P50" si="2">SUM(C51:C52)</f>
        <v>0</v>
      </c>
      <c r="D50" s="316">
        <f t="shared" si="2"/>
        <v>0</v>
      </c>
      <c r="E50" s="316">
        <f t="shared" si="2"/>
        <v>0</v>
      </c>
      <c r="F50" s="316">
        <f t="shared" si="2"/>
        <v>0</v>
      </c>
      <c r="G50" s="316">
        <f t="shared" si="2"/>
        <v>7.6309273980798139E-3</v>
      </c>
      <c r="H50" s="316">
        <f t="shared" si="2"/>
        <v>0</v>
      </c>
      <c r="I50" s="316">
        <f t="shared" si="2"/>
        <v>0</v>
      </c>
      <c r="J50" s="316">
        <f t="shared" si="2"/>
        <v>0</v>
      </c>
      <c r="K50" s="316">
        <f t="shared" si="2"/>
        <v>0</v>
      </c>
      <c r="L50" s="316">
        <f t="shared" si="2"/>
        <v>0</v>
      </c>
      <c r="M50" s="316">
        <f t="shared" si="2"/>
        <v>3.4217719653356664E-4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3.9204465617030466E-5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7.6309273980798139E-3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3.4217719653356664E-4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10.890129338064018</v>
      </c>
      <c r="C54" s="21">
        <f t="shared" ref="C54:P54" si="3">(C50)*10^9/3600</f>
        <v>0</v>
      </c>
      <c r="D54" s="21">
        <f t="shared" si="3"/>
        <v>0</v>
      </c>
      <c r="E54" s="21">
        <f t="shared" si="3"/>
        <v>0</v>
      </c>
      <c r="F54" s="21">
        <f t="shared" si="3"/>
        <v>0</v>
      </c>
      <c r="G54" s="21">
        <f t="shared" si="3"/>
        <v>2119.7020550221705</v>
      </c>
      <c r="H54" s="21">
        <f t="shared" si="3"/>
        <v>0</v>
      </c>
      <c r="I54" s="21">
        <f t="shared" si="3"/>
        <v>0</v>
      </c>
      <c r="J54" s="21">
        <f t="shared" si="3"/>
        <v>0</v>
      </c>
      <c r="K54" s="21">
        <f t="shared" si="3"/>
        <v>0</v>
      </c>
      <c r="L54" s="21">
        <f t="shared" si="3"/>
        <v>0</v>
      </c>
      <c r="M54" s="21">
        <f t="shared" si="3"/>
        <v>95.049221259324071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0.22170591388449939</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2.4144060772158813</v>
      </c>
      <c r="C58" s="23">
        <f t="shared" ref="C58:P58" ca="1" si="4">C54*C56</f>
        <v>0</v>
      </c>
      <c r="D58" s="23">
        <f t="shared" si="4"/>
        <v>0</v>
      </c>
      <c r="E58" s="23">
        <f t="shared" si="4"/>
        <v>0</v>
      </c>
      <c r="F58" s="23">
        <f t="shared" si="4"/>
        <v>0</v>
      </c>
      <c r="G58" s="23">
        <f t="shared" si="4"/>
        <v>565.96044869091952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7"/>
  <sheetViews>
    <sheetView showGridLines="0" zoomScale="65" zoomScaleNormal="65" workbookViewId="0">
      <selection activeCell="A28" sqref="A28:XFD35"/>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3443.7531435050691</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N35</f>
        <v>49495.5</v>
      </c>
      <c r="C8" s="546">
        <f>B54</f>
        <v>58230</v>
      </c>
      <c r="D8" s="963"/>
      <c r="E8" s="963">
        <f>E54</f>
        <v>0</v>
      </c>
      <c r="F8" s="964"/>
      <c r="G8" s="547"/>
      <c r="H8" s="963">
        <f>I54</f>
        <v>0</v>
      </c>
      <c r="I8" s="963">
        <f>G54+F54</f>
        <v>0</v>
      </c>
      <c r="J8" s="963">
        <f>H54+D54+C54</f>
        <v>0</v>
      </c>
      <c r="K8" s="963"/>
      <c r="L8" s="963"/>
      <c r="M8" s="963"/>
      <c r="N8" s="548"/>
      <c r="O8" s="549">
        <f>C8*$C$12+D8*$D$12+E8*$E$12+F8*$F$12+G8*$G$12+H8*$H$12+I8*$I$12+J8*$J$12</f>
        <v>11762.460000000001</v>
      </c>
      <c r="P8" s="1206"/>
      <c r="Q8" s="1207"/>
      <c r="S8" s="975"/>
      <c r="T8" s="1227"/>
      <c r="U8" s="1227"/>
    </row>
    <row r="9" spans="1:21" s="534" customFormat="1" ht="17.45" customHeight="1" thickBot="1">
      <c r="A9" s="550" t="s">
        <v>237</v>
      </c>
      <c r="B9" s="551">
        <f>N42+'Eigen informatie GS &amp; warmtenet'!B12</f>
        <v>0</v>
      </c>
      <c r="C9" s="552">
        <f>P42+IF(ISERROR(('Eigen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S42+IF(ISERROR('Eigen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W42+IF(ISERROR('Eigen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(T42+U42)+IF(ISERROR('Eigen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V42+Q42+R42+IF(ISERROR('Eigen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52939.25314350507</v>
      </c>
      <c r="C10" s="559">
        <f t="shared" ref="C10:L10" si="0">SUM(C8:C9)</f>
        <v>58230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11762.460000000001</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O35</f>
        <v>70707.857142857145</v>
      </c>
      <c r="C17" s="571">
        <f>B55</f>
        <v>83185.71428571429</v>
      </c>
      <c r="D17" s="572"/>
      <c r="E17" s="572">
        <f>E55</f>
        <v>0</v>
      </c>
      <c r="F17" s="969"/>
      <c r="G17" s="573"/>
      <c r="H17" s="571">
        <f>I55</f>
        <v>0</v>
      </c>
      <c r="I17" s="572">
        <f>G55+F55</f>
        <v>0</v>
      </c>
      <c r="J17" s="572">
        <f>H55+D55+C55</f>
        <v>0</v>
      </c>
      <c r="K17" s="572"/>
      <c r="L17" s="572"/>
      <c r="M17" s="572"/>
      <c r="N17" s="970"/>
      <c r="O17" s="574">
        <f>C17*$C$22+E17*$E$22+H17*$H$22+I17*$I$22+J17*$J$22+D17*$D$22+F17*$F$22+G17*$G$22+K17*$K$22+L17*$L$22</f>
        <v>16803.514285714289</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70707.857142857145</v>
      </c>
      <c r="C20" s="558">
        <f>SUM(C17:C19)</f>
        <v>83185.71428571429</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16803.514285714289</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11037</v>
      </c>
      <c r="C28" s="741">
        <v>2840</v>
      </c>
      <c r="D28" s="630"/>
      <c r="E28" s="629"/>
      <c r="F28" s="629"/>
      <c r="G28" s="629" t="s">
        <v>908</v>
      </c>
      <c r="H28" s="629" t="s">
        <v>909</v>
      </c>
      <c r="I28" s="629"/>
      <c r="J28" s="740"/>
      <c r="K28" s="740"/>
      <c r="L28" s="629" t="s">
        <v>910</v>
      </c>
      <c r="M28" s="629">
        <v>1532</v>
      </c>
      <c r="N28" s="629">
        <v>6894</v>
      </c>
      <c r="O28" s="629">
        <v>9848.5714285714294</v>
      </c>
      <c r="P28" s="629">
        <v>19697.142857142859</v>
      </c>
      <c r="Q28" s="629">
        <v>0</v>
      </c>
      <c r="R28" s="629">
        <v>0</v>
      </c>
      <c r="S28" s="629">
        <v>0</v>
      </c>
      <c r="T28" s="629">
        <v>0</v>
      </c>
      <c r="U28" s="629">
        <v>0</v>
      </c>
      <c r="V28" s="629">
        <v>0</v>
      </c>
      <c r="W28" s="629">
        <v>0</v>
      </c>
      <c r="X28" s="629"/>
      <c r="Y28" s="629">
        <v>11</v>
      </c>
      <c r="Z28" s="629" t="s">
        <v>105</v>
      </c>
      <c r="AA28" s="631" t="s">
        <v>105</v>
      </c>
    </row>
    <row r="29" spans="1:27" s="583" customFormat="1" ht="25.5" hidden="1">
      <c r="A29" s="582"/>
      <c r="B29" s="741">
        <v>11037</v>
      </c>
      <c r="C29" s="741">
        <v>2840</v>
      </c>
      <c r="D29" s="630"/>
      <c r="E29" s="629"/>
      <c r="F29" s="629"/>
      <c r="G29" s="629" t="s">
        <v>908</v>
      </c>
      <c r="H29" s="629" t="s">
        <v>909</v>
      </c>
      <c r="I29" s="629"/>
      <c r="J29" s="740"/>
      <c r="K29" s="740"/>
      <c r="L29" s="629" t="s">
        <v>910</v>
      </c>
      <c r="M29" s="629">
        <v>1532</v>
      </c>
      <c r="N29" s="629">
        <v>6894</v>
      </c>
      <c r="O29" s="629">
        <v>9848.5714285714294</v>
      </c>
      <c r="P29" s="629">
        <v>19697.142857142859</v>
      </c>
      <c r="Q29" s="629">
        <v>0</v>
      </c>
      <c r="R29" s="629">
        <v>0</v>
      </c>
      <c r="S29" s="629">
        <v>0</v>
      </c>
      <c r="T29" s="629">
        <v>0</v>
      </c>
      <c r="U29" s="629">
        <v>0</v>
      </c>
      <c r="V29" s="629">
        <v>0</v>
      </c>
      <c r="W29" s="629">
        <v>0</v>
      </c>
      <c r="X29" s="629"/>
      <c r="Y29" s="629">
        <v>10</v>
      </c>
      <c r="Z29" s="629" t="s">
        <v>105</v>
      </c>
      <c r="AA29" s="631" t="s">
        <v>105</v>
      </c>
    </row>
    <row r="30" spans="1:27" s="583" customFormat="1" ht="25.5" hidden="1">
      <c r="A30" s="582"/>
      <c r="B30" s="741">
        <v>11037</v>
      </c>
      <c r="C30" s="741">
        <v>2840</v>
      </c>
      <c r="D30" s="630"/>
      <c r="E30" s="629"/>
      <c r="F30" s="629"/>
      <c r="G30" s="629" t="s">
        <v>908</v>
      </c>
      <c r="H30" s="629" t="s">
        <v>909</v>
      </c>
      <c r="I30" s="629"/>
      <c r="J30" s="740"/>
      <c r="K30" s="740"/>
      <c r="L30" s="629" t="s">
        <v>910</v>
      </c>
      <c r="M30" s="629">
        <v>2333</v>
      </c>
      <c r="N30" s="629">
        <v>10498.5</v>
      </c>
      <c r="O30" s="629">
        <v>14997.857142857143</v>
      </c>
      <c r="P30" s="629">
        <v>29995.714285714286</v>
      </c>
      <c r="Q30" s="629">
        <v>0</v>
      </c>
      <c r="R30" s="629">
        <v>0</v>
      </c>
      <c r="S30" s="629">
        <v>0</v>
      </c>
      <c r="T30" s="629">
        <v>0</v>
      </c>
      <c r="U30" s="629">
        <v>0</v>
      </c>
      <c r="V30" s="629">
        <v>0</v>
      </c>
      <c r="W30" s="629">
        <v>0</v>
      </c>
      <c r="X30" s="629"/>
      <c r="Y30" s="629">
        <v>10</v>
      </c>
      <c r="Z30" s="629" t="s">
        <v>105</v>
      </c>
      <c r="AA30" s="631" t="s">
        <v>105</v>
      </c>
    </row>
    <row r="31" spans="1:27" s="583" customFormat="1" ht="25.5" hidden="1">
      <c r="A31" s="582"/>
      <c r="B31" s="741">
        <v>11037</v>
      </c>
      <c r="C31" s="741">
        <v>2840</v>
      </c>
      <c r="D31" s="630"/>
      <c r="E31" s="629"/>
      <c r="F31" s="629"/>
      <c r="G31" s="629" t="s">
        <v>908</v>
      </c>
      <c r="H31" s="629" t="s">
        <v>909</v>
      </c>
      <c r="I31" s="629"/>
      <c r="J31" s="740"/>
      <c r="K31" s="740"/>
      <c r="L31" s="629" t="s">
        <v>910</v>
      </c>
      <c r="M31" s="629">
        <v>800</v>
      </c>
      <c r="N31" s="629">
        <v>3600</v>
      </c>
      <c r="O31" s="629">
        <v>5142.8571428571431</v>
      </c>
      <c r="P31" s="629">
        <v>10285.714285714286</v>
      </c>
      <c r="Q31" s="629">
        <v>0</v>
      </c>
      <c r="R31" s="629">
        <v>0</v>
      </c>
      <c r="S31" s="629">
        <v>0</v>
      </c>
      <c r="T31" s="629">
        <v>0</v>
      </c>
      <c r="U31" s="629">
        <v>0</v>
      </c>
      <c r="V31" s="629">
        <v>0</v>
      </c>
      <c r="W31" s="629">
        <v>0</v>
      </c>
      <c r="X31" s="629"/>
      <c r="Y31" s="629">
        <v>10</v>
      </c>
      <c r="Z31" s="629" t="s">
        <v>105</v>
      </c>
      <c r="AA31" s="631" t="s">
        <v>105</v>
      </c>
    </row>
    <row r="32" spans="1:27" s="583" customFormat="1" ht="25.5" hidden="1">
      <c r="A32" s="582"/>
      <c r="B32" s="741">
        <v>11037</v>
      </c>
      <c r="C32" s="741">
        <v>2840</v>
      </c>
      <c r="D32" s="630"/>
      <c r="E32" s="629"/>
      <c r="F32" s="629"/>
      <c r="G32" s="629" t="s">
        <v>908</v>
      </c>
      <c r="H32" s="629" t="s">
        <v>909</v>
      </c>
      <c r="I32" s="629"/>
      <c r="J32" s="740"/>
      <c r="K32" s="740"/>
      <c r="L32" s="629" t="s">
        <v>910</v>
      </c>
      <c r="M32" s="629">
        <v>2358</v>
      </c>
      <c r="N32" s="629">
        <v>10611</v>
      </c>
      <c r="O32" s="629">
        <v>15158.571428571429</v>
      </c>
      <c r="P32" s="629">
        <v>30317.142857142859</v>
      </c>
      <c r="Q32" s="629">
        <v>0</v>
      </c>
      <c r="R32" s="629">
        <v>0</v>
      </c>
      <c r="S32" s="629">
        <v>0</v>
      </c>
      <c r="T32" s="629">
        <v>0</v>
      </c>
      <c r="U32" s="629">
        <v>0</v>
      </c>
      <c r="V32" s="629">
        <v>0</v>
      </c>
      <c r="W32" s="629">
        <v>0</v>
      </c>
      <c r="X32" s="629"/>
      <c r="Y32" s="629">
        <v>10</v>
      </c>
      <c r="Z32" s="629" t="s">
        <v>105</v>
      </c>
      <c r="AA32" s="631" t="s">
        <v>105</v>
      </c>
    </row>
    <row r="33" spans="1:28" s="583" customFormat="1" ht="25.5" hidden="1">
      <c r="A33" s="582"/>
      <c r="B33" s="741">
        <v>11037</v>
      </c>
      <c r="C33" s="741">
        <v>2840</v>
      </c>
      <c r="D33" s="630"/>
      <c r="E33" s="629"/>
      <c r="F33" s="629"/>
      <c r="G33" s="629" t="s">
        <v>908</v>
      </c>
      <c r="H33" s="629" t="s">
        <v>909</v>
      </c>
      <c r="I33" s="629"/>
      <c r="J33" s="740"/>
      <c r="K33" s="740"/>
      <c r="L33" s="629" t="s">
        <v>910</v>
      </c>
      <c r="M33" s="629">
        <v>1944</v>
      </c>
      <c r="N33" s="629">
        <v>8748</v>
      </c>
      <c r="O33" s="629">
        <v>12497.142857142857</v>
      </c>
      <c r="P33" s="629">
        <v>24994.285714285717</v>
      </c>
      <c r="Q33" s="629">
        <v>0</v>
      </c>
      <c r="R33" s="629">
        <v>0</v>
      </c>
      <c r="S33" s="629">
        <v>0</v>
      </c>
      <c r="T33" s="629">
        <v>0</v>
      </c>
      <c r="U33" s="629">
        <v>0</v>
      </c>
      <c r="V33" s="629">
        <v>0</v>
      </c>
      <c r="W33" s="629">
        <v>0</v>
      </c>
      <c r="X33" s="629"/>
      <c r="Y33" s="629">
        <v>10</v>
      </c>
      <c r="Z33" s="629" t="s">
        <v>105</v>
      </c>
      <c r="AA33" s="631" t="s">
        <v>105</v>
      </c>
    </row>
    <row r="34" spans="1:28" s="583" customFormat="1" ht="25.5" hidden="1">
      <c r="A34" s="582"/>
      <c r="B34" s="741">
        <v>11037</v>
      </c>
      <c r="C34" s="741">
        <v>2321</v>
      </c>
      <c r="D34" s="630"/>
      <c r="E34" s="629"/>
      <c r="F34" s="629"/>
      <c r="G34" s="629" t="s">
        <v>908</v>
      </c>
      <c r="H34" s="629" t="s">
        <v>909</v>
      </c>
      <c r="I34" s="629"/>
      <c r="J34" s="740"/>
      <c r="K34" s="740"/>
      <c r="L34" s="629" t="s">
        <v>910</v>
      </c>
      <c r="M34" s="629">
        <v>2000</v>
      </c>
      <c r="N34" s="629">
        <v>2250</v>
      </c>
      <c r="O34" s="629">
        <v>3214.2857142857142</v>
      </c>
      <c r="P34" s="629">
        <v>6428.5714285714294</v>
      </c>
      <c r="Q34" s="629">
        <v>0</v>
      </c>
      <c r="R34" s="629">
        <v>0</v>
      </c>
      <c r="S34" s="629">
        <v>0</v>
      </c>
      <c r="T34" s="629">
        <v>0</v>
      </c>
      <c r="U34" s="629">
        <v>0</v>
      </c>
      <c r="V34" s="629">
        <v>0</v>
      </c>
      <c r="W34" s="629">
        <v>0</v>
      </c>
      <c r="X34" s="629"/>
      <c r="Y34" s="629">
        <v>10</v>
      </c>
      <c r="Z34" s="629" t="s">
        <v>105</v>
      </c>
      <c r="AA34" s="631" t="s">
        <v>105</v>
      </c>
    </row>
    <row r="35" spans="1:28" s="566" customFormat="1" hidden="1">
      <c r="A35" s="585" t="s">
        <v>269</v>
      </c>
      <c r="B35" s="586"/>
      <c r="C35" s="586"/>
      <c r="D35" s="586"/>
      <c r="E35" s="586"/>
      <c r="F35" s="586"/>
      <c r="G35" s="586"/>
      <c r="H35" s="586"/>
      <c r="I35" s="586"/>
      <c r="J35" s="586"/>
      <c r="K35" s="586"/>
      <c r="L35" s="587"/>
      <c r="M35" s="587">
        <f>SUM(M28:M34)</f>
        <v>12499</v>
      </c>
      <c r="N35" s="587">
        <f>SUM(N28:N34)</f>
        <v>49495.5</v>
      </c>
      <c r="O35" s="587">
        <f>SUM(O28:O34)</f>
        <v>70707.857142857145</v>
      </c>
      <c r="P35" s="587">
        <f>SUM(P28:P34)</f>
        <v>141415.71428571429</v>
      </c>
      <c r="Q35" s="587">
        <f>SUM(Q28:Q34)</f>
        <v>0</v>
      </c>
      <c r="R35" s="587">
        <f>SUM(R28:R34)</f>
        <v>0</v>
      </c>
      <c r="S35" s="587">
        <f>SUM(S28:S34)</f>
        <v>0</v>
      </c>
      <c r="T35" s="587">
        <f>SUM(T28:T34)</f>
        <v>0</v>
      </c>
      <c r="U35" s="587">
        <f>SUM(U28:U34)</f>
        <v>0</v>
      </c>
      <c r="V35" s="587">
        <f>SUM(V28:V34)</f>
        <v>0</v>
      </c>
      <c r="W35" s="587">
        <f>SUM(W28:W34)</f>
        <v>0</v>
      </c>
      <c r="X35" s="587"/>
      <c r="Y35" s="588"/>
      <c r="Z35" s="588"/>
      <c r="AA35" s="589"/>
    </row>
    <row r="36" spans="1:28" s="566" customFormat="1">
      <c r="A36" s="585" t="s">
        <v>276</v>
      </c>
      <c r="B36" s="586"/>
      <c r="C36" s="586"/>
      <c r="D36" s="586"/>
      <c r="E36" s="586"/>
      <c r="F36" s="586"/>
      <c r="G36" s="586"/>
      <c r="H36" s="586"/>
      <c r="I36" s="586"/>
      <c r="J36" s="586"/>
      <c r="K36" s="586"/>
      <c r="L36" s="587"/>
      <c r="M36" s="587">
        <f>SUMIF($AA$28:$AA$34,"industrie",M28:M34)</f>
        <v>0</v>
      </c>
      <c r="N36" s="587">
        <f>SUMIF($AA$28:$AA$34,"industrie",N28:N34)</f>
        <v>0</v>
      </c>
      <c r="O36" s="587">
        <f>SUMIF($AA$28:$AA$34,"industrie",O28:O34)</f>
        <v>0</v>
      </c>
      <c r="P36" s="587">
        <f>SUMIF($AA$28:$AA$34,"industrie",P28:P34)</f>
        <v>0</v>
      </c>
      <c r="Q36" s="587">
        <f>SUMIF($AA$28:$AA$34,"industrie",Q28:Q34)</f>
        <v>0</v>
      </c>
      <c r="R36" s="587">
        <f>SUMIF($AA$28:$AA$34,"industrie",R28:R34)</f>
        <v>0</v>
      </c>
      <c r="S36" s="587">
        <f>SUMIF($AA$28:$AA$34,"industrie",S28:S34)</f>
        <v>0</v>
      </c>
      <c r="T36" s="587">
        <f>SUMIF($AA$28:$AA$34,"industrie",T28:T34)</f>
        <v>0</v>
      </c>
      <c r="U36" s="587">
        <f>SUMIF($AA$28:$AA$34,"industrie",U28:U34)</f>
        <v>0</v>
      </c>
      <c r="V36" s="587">
        <f>SUMIF($AA$28:$AA$34,"industrie",V28:V34)</f>
        <v>0</v>
      </c>
      <c r="W36" s="587">
        <f>SUMIF($AA$28:$AA$34,"industrie",W28:W34)</f>
        <v>0</v>
      </c>
      <c r="X36" s="587"/>
      <c r="Y36" s="588"/>
      <c r="Z36" s="588"/>
      <c r="AA36" s="589"/>
    </row>
    <row r="37" spans="1:28" s="566" customFormat="1">
      <c r="A37" s="585" t="s">
        <v>277</v>
      </c>
      <c r="B37" s="586"/>
      <c r="C37" s="586"/>
      <c r="D37" s="586"/>
      <c r="E37" s="586"/>
      <c r="F37" s="586"/>
      <c r="G37" s="586"/>
      <c r="H37" s="586"/>
      <c r="I37" s="586"/>
      <c r="J37" s="586"/>
      <c r="K37" s="586"/>
      <c r="L37" s="587"/>
      <c r="M37" s="587">
        <f ca="1">SUMIF($AA$28:AD34,"tertiair",M28:M34)</f>
        <v>0</v>
      </c>
      <c r="N37" s="587">
        <f ca="1">SUMIF($AA$28:AE34,"tertiair",N28:N34)</f>
        <v>0</v>
      </c>
      <c r="O37" s="587">
        <f ca="1">SUMIF($AA$28:AF34,"tertiair",O28:O34)</f>
        <v>0</v>
      </c>
      <c r="P37" s="587">
        <f ca="1">SUMIF($AA$28:AG34,"tertiair",P28:P34)</f>
        <v>0</v>
      </c>
      <c r="Q37" s="587">
        <f ca="1">SUMIF($AA$28:AH34,"tertiair",Q28:Q34)</f>
        <v>0</v>
      </c>
      <c r="R37" s="587">
        <f ca="1">SUMIF($AA$28:AI34,"tertiair",R28:R34)</f>
        <v>0</v>
      </c>
      <c r="S37" s="587">
        <f ca="1">SUMIF($AA$28:AJ34,"tertiair",S28:S34)</f>
        <v>0</v>
      </c>
      <c r="T37" s="587">
        <f ca="1">SUMIF($AA$28:AK34,"tertiair",T28:T34)</f>
        <v>0</v>
      </c>
      <c r="U37" s="587">
        <f ca="1">SUMIF($AA$28:AL34,"tertiair",U28:U34)</f>
        <v>0</v>
      </c>
      <c r="V37" s="587">
        <f ca="1">SUMIF($AA$28:AM34,"tertiair",V28:V34)</f>
        <v>0</v>
      </c>
      <c r="W37" s="587">
        <f ca="1">SUMIF($AA$28:AN34,"tertiair",W28:W34)</f>
        <v>0</v>
      </c>
      <c r="X37" s="587"/>
      <c r="Y37" s="588"/>
      <c r="Z37" s="588"/>
      <c r="AA37" s="589"/>
    </row>
    <row r="38" spans="1:28" s="566" customFormat="1" ht="15.75" thickBot="1">
      <c r="A38" s="590" t="s">
        <v>278</v>
      </c>
      <c r="B38" s="591"/>
      <c r="C38" s="591"/>
      <c r="D38" s="591"/>
      <c r="E38" s="591"/>
      <c r="F38" s="591"/>
      <c r="G38" s="591"/>
      <c r="H38" s="591"/>
      <c r="I38" s="591"/>
      <c r="J38" s="591"/>
      <c r="K38" s="591"/>
      <c r="L38" s="592"/>
      <c r="M38" s="592">
        <f>SUMIF($AA$28:$AA$34,"landbouw",M28:M34)</f>
        <v>12499</v>
      </c>
      <c r="N38" s="592">
        <f>SUMIF($AA$28:$AA$34,"landbouw",N28:N34)</f>
        <v>49495.5</v>
      </c>
      <c r="O38" s="592">
        <f>SUMIF($AA$28:$AA$34,"landbouw",O28:O34)</f>
        <v>70707.857142857145</v>
      </c>
      <c r="P38" s="592">
        <f>SUMIF($AA$28:$AA$34,"landbouw",P28:P34)</f>
        <v>141415.71428571429</v>
      </c>
      <c r="Q38" s="592">
        <f>SUMIF($AA$28:$AA$34,"landbouw",Q28:Q34)</f>
        <v>0</v>
      </c>
      <c r="R38" s="592">
        <f>SUMIF($AA$28:$AA$34,"landbouw",R28:R34)</f>
        <v>0</v>
      </c>
      <c r="S38" s="592">
        <f>SUMIF($AA$28:$AA$34,"landbouw",S28:S34)</f>
        <v>0</v>
      </c>
      <c r="T38" s="592">
        <f>SUMIF($AA$28:$AA$34,"landbouw",T28:T34)</f>
        <v>0</v>
      </c>
      <c r="U38" s="592">
        <f>SUMIF($AA$28:$AA$34,"landbouw",U28:U34)</f>
        <v>0</v>
      </c>
      <c r="V38" s="592">
        <f>SUMIF($AA$28:$AA$34,"landbouw",V28:V34)</f>
        <v>0</v>
      </c>
      <c r="W38" s="592">
        <f>SUMIF($AA$28:$AA$34,"landbouw",W28:W34)</f>
        <v>0</v>
      </c>
      <c r="X38" s="592"/>
      <c r="Y38" s="593"/>
      <c r="Z38" s="593"/>
      <c r="AA38" s="594"/>
    </row>
    <row r="39" spans="1:28" s="534" customFormat="1" ht="15.75" thickBot="1">
      <c r="A39" s="595"/>
      <c r="B39" s="596"/>
      <c r="C39" s="596"/>
      <c r="D39" s="596"/>
      <c r="E39" s="596"/>
      <c r="F39" s="596"/>
      <c r="G39" s="596"/>
      <c r="H39" s="596"/>
      <c r="I39" s="596"/>
      <c r="J39" s="596"/>
      <c r="K39" s="596"/>
      <c r="L39" s="579"/>
      <c r="M39" s="579"/>
      <c r="N39" s="579"/>
      <c r="O39" s="580"/>
      <c r="P39" s="580"/>
    </row>
    <row r="40" spans="1:28" s="534" customFormat="1" ht="45">
      <c r="A40" s="597" t="s">
        <v>270</v>
      </c>
      <c r="B40" s="626" t="s">
        <v>89</v>
      </c>
      <c r="C40" s="626" t="s">
        <v>90</v>
      </c>
      <c r="D40" s="626"/>
      <c r="E40" s="626"/>
      <c r="F40" s="626"/>
      <c r="G40" s="626" t="s">
        <v>91</v>
      </c>
      <c r="H40" s="626" t="s">
        <v>92</v>
      </c>
      <c r="I40" s="626"/>
      <c r="J40" s="626"/>
      <c r="K40" s="626"/>
      <c r="L40" s="626" t="s">
        <v>93</v>
      </c>
      <c r="M40" s="627" t="s">
        <v>287</v>
      </c>
      <c r="N40" s="627" t="s">
        <v>94</v>
      </c>
      <c r="O40" s="627" t="s">
        <v>95</v>
      </c>
      <c r="P40" s="627" t="s">
        <v>528</v>
      </c>
      <c r="Q40" s="627" t="s">
        <v>96</v>
      </c>
      <c r="R40" s="627" t="s">
        <v>97</v>
      </c>
      <c r="S40" s="627" t="s">
        <v>98</v>
      </c>
      <c r="T40" s="627" t="s">
        <v>99</v>
      </c>
      <c r="U40" s="627" t="s">
        <v>100</v>
      </c>
      <c r="V40" s="627" t="s">
        <v>101</v>
      </c>
      <c r="W40" s="626" t="s">
        <v>102</v>
      </c>
      <c r="X40" s="626" t="s">
        <v>907</v>
      </c>
      <c r="Y40" s="626" t="s">
        <v>288</v>
      </c>
      <c r="Z40" s="626" t="s">
        <v>103</v>
      </c>
      <c r="AA40" s="628" t="s">
        <v>289</v>
      </c>
    </row>
    <row r="41" spans="1:28" s="598" customFormat="1" ht="12.75" hidden="1">
      <c r="A41" s="584"/>
      <c r="B41" s="741"/>
      <c r="C41" s="741"/>
      <c r="D41" s="632"/>
      <c r="E41" s="632"/>
      <c r="F41" s="632"/>
      <c r="G41" s="632"/>
      <c r="H41" s="632"/>
      <c r="I41" s="632"/>
      <c r="J41" s="740"/>
      <c r="K41" s="740"/>
      <c r="L41" s="632"/>
      <c r="M41" s="632"/>
      <c r="N41" s="632"/>
      <c r="O41" s="632"/>
      <c r="P41" s="632"/>
      <c r="Q41" s="632"/>
      <c r="R41" s="632"/>
      <c r="S41" s="632"/>
      <c r="T41" s="632"/>
      <c r="U41" s="632"/>
      <c r="V41" s="632"/>
      <c r="W41" s="632"/>
      <c r="X41" s="632"/>
      <c r="Y41" s="632"/>
      <c r="Z41" s="632"/>
      <c r="AA41" s="633"/>
    </row>
    <row r="42" spans="1:28" s="566" customFormat="1" hidden="1">
      <c r="A42" s="585" t="s">
        <v>269</v>
      </c>
      <c r="B42" s="586"/>
      <c r="C42" s="586"/>
      <c r="D42" s="586"/>
      <c r="E42" s="586"/>
      <c r="F42" s="586"/>
      <c r="G42" s="586"/>
      <c r="H42" s="586"/>
      <c r="I42" s="586"/>
      <c r="J42" s="586"/>
      <c r="K42" s="586"/>
      <c r="L42" s="587"/>
      <c r="M42" s="587">
        <f>SUM(M41:M41)</f>
        <v>0</v>
      </c>
      <c r="N42" s="587">
        <f>SUM(N41:N41)</f>
        <v>0</v>
      </c>
      <c r="O42" s="587">
        <f>SUM(O41:O41)</f>
        <v>0</v>
      </c>
      <c r="P42" s="587">
        <f>SUM(P41:P41)</f>
        <v>0</v>
      </c>
      <c r="Q42" s="587">
        <f>SUM(Q41:Q41)</f>
        <v>0</v>
      </c>
      <c r="R42" s="587">
        <f>SUM(R41:R41)</f>
        <v>0</v>
      </c>
      <c r="S42" s="587">
        <f>SUM(S41:S41)</f>
        <v>0</v>
      </c>
      <c r="T42" s="587">
        <f>SUM(T41:T41)</f>
        <v>0</v>
      </c>
      <c r="U42" s="587">
        <f>SUM(U41:U41)</f>
        <v>0</v>
      </c>
      <c r="V42" s="587">
        <f>SUM(V41:V41)</f>
        <v>0</v>
      </c>
      <c r="W42" s="587">
        <f>SUM(W41:W41)</f>
        <v>0</v>
      </c>
      <c r="X42" s="587"/>
      <c r="Y42" s="588"/>
      <c r="Z42" s="588"/>
      <c r="AA42" s="589"/>
    </row>
    <row r="43" spans="1:28" s="566" customFormat="1">
      <c r="A43" s="585" t="s">
        <v>276</v>
      </c>
      <c r="B43" s="586"/>
      <c r="C43" s="586"/>
      <c r="D43" s="586"/>
      <c r="E43" s="586"/>
      <c r="F43" s="586"/>
      <c r="G43" s="586"/>
      <c r="H43" s="586"/>
      <c r="I43" s="586"/>
      <c r="J43" s="586"/>
      <c r="K43" s="586"/>
      <c r="L43" s="587"/>
      <c r="M43" s="587">
        <f>SUMIF($AA$41:$AA$41,"industrie",M41:M41)</f>
        <v>0</v>
      </c>
      <c r="N43" s="587">
        <f>SUMIF($AA$41:$AA$41,"industrie",N41:N41)</f>
        <v>0</v>
      </c>
      <c r="O43" s="587">
        <f>SUMIF($AA$41:$AA$41,"industrie",O41:O41)</f>
        <v>0</v>
      </c>
      <c r="P43" s="587">
        <f>SUMIF($AA$41:$AA$41,"industrie",P41:P41)</f>
        <v>0</v>
      </c>
      <c r="Q43" s="587">
        <f>SUMIF($AA$41:$AA$41,"industrie",Q41:Q41)</f>
        <v>0</v>
      </c>
      <c r="R43" s="587">
        <f>SUMIF($AA$41:$AA$41,"industrie",R41:R41)</f>
        <v>0</v>
      </c>
      <c r="S43" s="587">
        <f>SUMIF($AA$41:$AA$41,"industrie",S41:S41)</f>
        <v>0</v>
      </c>
      <c r="T43" s="587">
        <f>SUMIF($AA$41:$AA$41,"industrie",T41:T41)</f>
        <v>0</v>
      </c>
      <c r="U43" s="587">
        <f>SUMIF($AA$41:$AA$41,"industrie",U41:U41)</f>
        <v>0</v>
      </c>
      <c r="V43" s="587">
        <f>SUMIF($AA$41:$AA$41,"industrie",V41:V41)</f>
        <v>0</v>
      </c>
      <c r="W43" s="587">
        <f>SUMIF($AA$41:$AA$41,"industrie",W41:W41)</f>
        <v>0</v>
      </c>
      <c r="X43" s="587"/>
      <c r="Y43" s="588"/>
      <c r="Z43" s="588"/>
      <c r="AA43" s="589"/>
    </row>
    <row r="44" spans="1:28" s="566" customFormat="1">
      <c r="A44" s="585" t="s">
        <v>277</v>
      </c>
      <c r="B44" s="586"/>
      <c r="C44" s="586"/>
      <c r="D44" s="586"/>
      <c r="E44" s="586"/>
      <c r="F44" s="586"/>
      <c r="G44" s="586"/>
      <c r="H44" s="586"/>
      <c r="I44" s="586"/>
      <c r="J44" s="586"/>
      <c r="K44" s="586"/>
      <c r="L44" s="587"/>
      <c r="M44" s="587">
        <f>SUMIF($AA$41:$AA$42,"tertiair",M41:M42)</f>
        <v>0</v>
      </c>
      <c r="N44" s="587">
        <f>SUMIF($AA$41:$AA$42,"tertiair",N41:N42)</f>
        <v>0</v>
      </c>
      <c r="O44" s="587">
        <f>SUMIF($AA$41:$AA$42,"tertiair",O41:O42)</f>
        <v>0</v>
      </c>
      <c r="P44" s="587">
        <f>SUMIF($AA$41:$AA$42,"tertiair",P41:P42)</f>
        <v>0</v>
      </c>
      <c r="Q44" s="587">
        <f>SUMIF($AA$41:$AA$42,"tertiair",Q41:Q42)</f>
        <v>0</v>
      </c>
      <c r="R44" s="587">
        <f>SUMIF($AA$41:$AA$42,"tertiair",R41:R42)</f>
        <v>0</v>
      </c>
      <c r="S44" s="587">
        <f>SUMIF($AA$41:$AA$42,"tertiair",S41:S42)</f>
        <v>0</v>
      </c>
      <c r="T44" s="587">
        <f>SUMIF($AA$41:$AA$42,"tertiair",T41:T42)</f>
        <v>0</v>
      </c>
      <c r="U44" s="587">
        <f>SUMIF($AA$41:$AA$42,"tertiair",U41:U42)</f>
        <v>0</v>
      </c>
      <c r="V44" s="587">
        <f>SUMIF($AA$41:$AA$42,"tertiair",V41:V42)</f>
        <v>0</v>
      </c>
      <c r="W44" s="587">
        <f>SUMIF($AA$41:$AA$42,"tertiair",W41:W42)</f>
        <v>0</v>
      </c>
      <c r="X44" s="587"/>
      <c r="Y44" s="588"/>
      <c r="Z44" s="588"/>
      <c r="AA44" s="589"/>
    </row>
    <row r="45" spans="1:28" s="566" customFormat="1" ht="15.75" thickBot="1">
      <c r="A45" s="590" t="s">
        <v>278</v>
      </c>
      <c r="B45" s="591"/>
      <c r="C45" s="591"/>
      <c r="D45" s="591"/>
      <c r="E45" s="591"/>
      <c r="F45" s="591"/>
      <c r="G45" s="591"/>
      <c r="H45" s="591"/>
      <c r="I45" s="591"/>
      <c r="J45" s="591"/>
      <c r="K45" s="591"/>
      <c r="L45" s="592"/>
      <c r="M45" s="592">
        <f>SUMIF($AA$41:$AA$43,"landbouw",M41:M43)</f>
        <v>0</v>
      </c>
      <c r="N45" s="592">
        <f>SUMIF($AA$41:$AA$43,"landbouw",N41:N43)</f>
        <v>0</v>
      </c>
      <c r="O45" s="592">
        <f>SUMIF($AA$41:$AA$43,"landbouw",O41:O43)</f>
        <v>0</v>
      </c>
      <c r="P45" s="592">
        <f>SUMIF($AA$41:$AA$43,"landbouw",P41:P43)</f>
        <v>0</v>
      </c>
      <c r="Q45" s="592">
        <f>SUMIF($AA$41:$AA$43,"landbouw",Q41:Q43)</f>
        <v>0</v>
      </c>
      <c r="R45" s="592">
        <f>SUMIF($AA$41:$AA$43,"landbouw",R41:R43)</f>
        <v>0</v>
      </c>
      <c r="S45" s="592">
        <f>SUMIF($AA$41:$AA$43,"landbouw",S41:S43)</f>
        <v>0</v>
      </c>
      <c r="T45" s="592">
        <f>SUMIF($AA$41:$AA$43,"landbouw",T41:T43)</f>
        <v>0</v>
      </c>
      <c r="U45" s="592">
        <f>SUMIF($AA$41:$AA$43,"landbouw",U41:U43)</f>
        <v>0</v>
      </c>
      <c r="V45" s="592">
        <f>SUMIF($AA$41:$AA$43,"landbouw",V41:V43)</f>
        <v>0</v>
      </c>
      <c r="W45" s="592">
        <f>SUMIF($AA$41:$AA$43,"landbouw",W41:W43)</f>
        <v>0</v>
      </c>
      <c r="X45" s="592"/>
      <c r="Y45" s="593"/>
      <c r="Z45" s="593"/>
      <c r="AA45" s="594"/>
    </row>
    <row r="46" spans="1:28" s="599" customFormat="1">
      <c r="A46" s="595"/>
      <c r="B46" s="579"/>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row>
    <row r="47" spans="1:28" s="599" customFormat="1" ht="15.75" thickBot="1">
      <c r="A47" s="595"/>
      <c r="B47" s="579"/>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row>
    <row r="48" spans="1:28">
      <c r="A48" s="600" t="s">
        <v>271</v>
      </c>
      <c r="B48" s="601"/>
      <c r="C48" s="601"/>
      <c r="D48" s="601"/>
      <c r="E48" s="601"/>
      <c r="F48" s="601"/>
      <c r="G48" s="601"/>
      <c r="H48" s="601"/>
      <c r="I48" s="602"/>
      <c r="J48" s="603"/>
      <c r="K48" s="603"/>
      <c r="L48" s="604"/>
      <c r="M48" s="604"/>
      <c r="N48" s="604"/>
      <c r="O48" s="604"/>
      <c r="P48" s="604"/>
    </row>
    <row r="49" spans="1:16">
      <c r="A49" s="606"/>
      <c r="B49" s="596"/>
      <c r="C49" s="596"/>
      <c r="D49" s="596"/>
      <c r="E49" s="596"/>
      <c r="F49" s="596"/>
      <c r="G49" s="596"/>
      <c r="H49" s="596"/>
      <c r="I49" s="607"/>
      <c r="J49" s="596"/>
      <c r="K49" s="596"/>
      <c r="L49" s="604"/>
      <c r="M49" s="604"/>
      <c r="N49" s="604"/>
      <c r="O49" s="604"/>
      <c r="P49" s="604"/>
    </row>
    <row r="50" spans="1:16">
      <c r="A50" s="608"/>
      <c r="B50" s="609" t="s">
        <v>272</v>
      </c>
      <c r="C50" s="609" t="s">
        <v>273</v>
      </c>
      <c r="D50" s="609"/>
      <c r="E50" s="609"/>
      <c r="F50" s="609"/>
      <c r="G50" s="609"/>
      <c r="H50" s="609"/>
      <c r="I50" s="610"/>
      <c r="J50" s="609"/>
      <c r="K50" s="609"/>
      <c r="L50" s="609"/>
      <c r="M50" s="609"/>
      <c r="N50" s="609"/>
      <c r="O50" s="609"/>
      <c r="P50" s="604"/>
    </row>
    <row r="51" spans="1:16">
      <c r="A51" s="606" t="s">
        <v>269</v>
      </c>
      <c r="B51" s="611">
        <f>IF(ISERROR(O35/(O35+N35)),0,O35/(O35+N35))</f>
        <v>0.58823529411764708</v>
      </c>
      <c r="C51" s="612">
        <f>IF(ISERROR(N35/(O35+N35)),0,N35/(N35+O35))</f>
        <v>0.41176470588235292</v>
      </c>
      <c r="D51" s="579"/>
      <c r="E51" s="579"/>
      <c r="F51" s="579"/>
      <c r="G51" s="579"/>
      <c r="H51" s="579"/>
      <c r="I51" s="613"/>
      <c r="J51" s="579"/>
      <c r="K51" s="579"/>
      <c r="L51" s="614"/>
      <c r="M51" s="614"/>
      <c r="N51" s="614"/>
      <c r="O51" s="614"/>
      <c r="P51" s="604"/>
    </row>
    <row r="52" spans="1:16">
      <c r="A52" s="606"/>
      <c r="B52" s="615"/>
      <c r="C52" s="615"/>
      <c r="D52" s="615"/>
      <c r="E52" s="615"/>
      <c r="F52" s="615"/>
      <c r="G52" s="615"/>
      <c r="H52" s="615"/>
      <c r="I52" s="616"/>
      <c r="J52" s="615"/>
      <c r="K52" s="615"/>
      <c r="L52" s="617"/>
      <c r="M52" s="617"/>
      <c r="N52" s="617"/>
      <c r="O52" s="617"/>
      <c r="P52" s="604"/>
    </row>
    <row r="53" spans="1:16" ht="30">
      <c r="A53" s="618"/>
      <c r="B53" s="619" t="s">
        <v>528</v>
      </c>
      <c r="C53" s="619" t="s">
        <v>96</v>
      </c>
      <c r="D53" s="619" t="s">
        <v>97</v>
      </c>
      <c r="E53" s="619" t="s">
        <v>98</v>
      </c>
      <c r="F53" s="619" t="s">
        <v>99</v>
      </c>
      <c r="G53" s="619" t="s">
        <v>100</v>
      </c>
      <c r="H53" s="619" t="s">
        <v>101</v>
      </c>
      <c r="I53" s="620" t="s">
        <v>102</v>
      </c>
      <c r="J53" s="609"/>
      <c r="K53" s="609"/>
      <c r="L53" s="617"/>
      <c r="M53" s="617"/>
      <c r="N53" s="617"/>
      <c r="O53" s="604"/>
      <c r="P53" s="604"/>
    </row>
    <row r="54" spans="1:16">
      <c r="A54" s="608" t="s">
        <v>274</v>
      </c>
      <c r="B54" s="621">
        <f t="shared" ref="B54:I54" si="2">$C$51*P35</f>
        <v>58230</v>
      </c>
      <c r="C54" s="621">
        <f t="shared" si="2"/>
        <v>0</v>
      </c>
      <c r="D54" s="621">
        <f t="shared" si="2"/>
        <v>0</v>
      </c>
      <c r="E54" s="621">
        <f t="shared" si="2"/>
        <v>0</v>
      </c>
      <c r="F54" s="621">
        <f t="shared" si="2"/>
        <v>0</v>
      </c>
      <c r="G54" s="621">
        <f t="shared" si="2"/>
        <v>0</v>
      </c>
      <c r="H54" s="621">
        <f t="shared" si="2"/>
        <v>0</v>
      </c>
      <c r="I54" s="622">
        <f t="shared" si="2"/>
        <v>0</v>
      </c>
      <c r="J54" s="579"/>
      <c r="K54" s="579"/>
      <c r="L54" s="617"/>
      <c r="M54" s="617"/>
      <c r="N54" s="617"/>
      <c r="O54" s="604"/>
      <c r="P54" s="604"/>
    </row>
    <row r="55" spans="1:16" ht="15.75" thickBot="1">
      <c r="A55" s="623" t="s">
        <v>275</v>
      </c>
      <c r="B55" s="624">
        <f t="shared" ref="B55:I55" si="3">$B$51*P35</f>
        <v>83185.71428571429</v>
      </c>
      <c r="C55" s="624">
        <f t="shared" si="3"/>
        <v>0</v>
      </c>
      <c r="D55" s="624">
        <f t="shared" si="3"/>
        <v>0</v>
      </c>
      <c r="E55" s="624">
        <f t="shared" si="3"/>
        <v>0</v>
      </c>
      <c r="F55" s="624">
        <f t="shared" si="3"/>
        <v>0</v>
      </c>
      <c r="G55" s="624">
        <f t="shared" si="3"/>
        <v>0</v>
      </c>
      <c r="H55" s="624">
        <f t="shared" si="3"/>
        <v>0</v>
      </c>
      <c r="I55" s="625">
        <f t="shared" si="3"/>
        <v>0</v>
      </c>
      <c r="J55" s="579"/>
      <c r="K55" s="579"/>
      <c r="L55" s="617"/>
      <c r="M55" s="617"/>
      <c r="N55" s="617"/>
      <c r="O55" s="604"/>
      <c r="P55" s="604"/>
    </row>
    <row r="56" spans="1:16">
      <c r="J56" s="564"/>
      <c r="K56" s="564"/>
      <c r="L56" s="564"/>
      <c r="M56" s="564"/>
      <c r="N56" s="564"/>
    </row>
    <row r="57" spans="1:16">
      <c r="J57" s="564"/>
      <c r="K57" s="564"/>
      <c r="L57" s="564"/>
      <c r="M57" s="564"/>
      <c r="N57"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39437.660491785442</v>
      </c>
      <c r="D10" s="640">
        <f ca="1">tertiair!C16</f>
        <v>0</v>
      </c>
      <c r="E10" s="640">
        <f ca="1">tertiair!D16</f>
        <v>27347.886395740508</v>
      </c>
      <c r="F10" s="640">
        <f>tertiair!E16</f>
        <v>144.96179098952783</v>
      </c>
      <c r="G10" s="640">
        <f ca="1">tertiair!F16</f>
        <v>5514.5917739548941</v>
      </c>
      <c r="H10" s="640">
        <f>tertiair!G16</f>
        <v>0</v>
      </c>
      <c r="I10" s="640">
        <f>tertiair!H16</f>
        <v>0</v>
      </c>
      <c r="J10" s="640">
        <f>tertiair!I16</f>
        <v>0</v>
      </c>
      <c r="K10" s="640">
        <f>tertiair!J16</f>
        <v>58.879040140569508</v>
      </c>
      <c r="L10" s="640">
        <f>tertiair!K16</f>
        <v>0</v>
      </c>
      <c r="M10" s="640">
        <f ca="1">tertiair!L16</f>
        <v>0</v>
      </c>
      <c r="N10" s="640">
        <f>tertiair!M16</f>
        <v>0</v>
      </c>
      <c r="O10" s="640">
        <f ca="1">tertiair!N16</f>
        <v>10475.72215628728</v>
      </c>
      <c r="P10" s="640">
        <f>tertiair!O16</f>
        <v>0</v>
      </c>
      <c r="Q10" s="641">
        <f>tertiair!P16</f>
        <v>0</v>
      </c>
      <c r="R10" s="643">
        <f ca="1">SUM(C10:Q10)</f>
        <v>82979.701648898219</v>
      </c>
      <c r="S10" s="67"/>
    </row>
    <row r="11" spans="1:19" s="444" customFormat="1">
      <c r="A11" s="754" t="s">
        <v>214</v>
      </c>
      <c r="B11" s="759"/>
      <c r="C11" s="640">
        <f>huishoudens!B8</f>
        <v>28031.274741495483</v>
      </c>
      <c r="D11" s="640">
        <f>huishoudens!C8</f>
        <v>0</v>
      </c>
      <c r="E11" s="640">
        <f>huishoudens!D8</f>
        <v>80547.423466736087</v>
      </c>
      <c r="F11" s="640">
        <f>huishoudens!E8</f>
        <v>934.94149491103167</v>
      </c>
      <c r="G11" s="640">
        <f>huishoudens!F8</f>
        <v>28651.724111303844</v>
      </c>
      <c r="H11" s="640">
        <f>huishoudens!G8</f>
        <v>0</v>
      </c>
      <c r="I11" s="640">
        <f>huishoudens!H8</f>
        <v>0</v>
      </c>
      <c r="J11" s="640">
        <f>huishoudens!I8</f>
        <v>0</v>
      </c>
      <c r="K11" s="640">
        <f>huishoudens!J8</f>
        <v>542.60660408889839</v>
      </c>
      <c r="L11" s="640">
        <f>huishoudens!K8</f>
        <v>0</v>
      </c>
      <c r="M11" s="640">
        <f>huishoudens!L8</f>
        <v>0</v>
      </c>
      <c r="N11" s="640">
        <f>huishoudens!M8</f>
        <v>0</v>
      </c>
      <c r="O11" s="640">
        <f>huishoudens!N8</f>
        <v>9089.4539215471577</v>
      </c>
      <c r="P11" s="640">
        <f>huishoudens!O8</f>
        <v>98.490000000000009</v>
      </c>
      <c r="Q11" s="641">
        <f>huishoudens!P8</f>
        <v>400.4</v>
      </c>
      <c r="R11" s="643">
        <f>SUM(C11:Q11)</f>
        <v>148296.31434008249</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15939.231644200196</v>
      </c>
      <c r="D13" s="640">
        <f>industrie!C18</f>
        <v>0</v>
      </c>
      <c r="E13" s="640">
        <f>industrie!D18</f>
        <v>55560.432258903253</v>
      </c>
      <c r="F13" s="640">
        <f>industrie!E18</f>
        <v>1110.5859301949745</v>
      </c>
      <c r="G13" s="640">
        <f>industrie!F18</f>
        <v>4904.2843208884551</v>
      </c>
      <c r="H13" s="640">
        <f>industrie!G18</f>
        <v>0</v>
      </c>
      <c r="I13" s="640">
        <f>industrie!H18</f>
        <v>0</v>
      </c>
      <c r="J13" s="640">
        <f>industrie!I18</f>
        <v>0</v>
      </c>
      <c r="K13" s="640">
        <f>industrie!J18</f>
        <v>41.411328109521889</v>
      </c>
      <c r="L13" s="640">
        <f>industrie!K18</f>
        <v>0</v>
      </c>
      <c r="M13" s="640">
        <f>industrie!L18</f>
        <v>0</v>
      </c>
      <c r="N13" s="640">
        <f>industrie!M18</f>
        <v>0</v>
      </c>
      <c r="O13" s="640">
        <f>industrie!N18</f>
        <v>773.19672479925487</v>
      </c>
      <c r="P13" s="640">
        <f>industrie!O18</f>
        <v>0</v>
      </c>
      <c r="Q13" s="641">
        <f>industrie!P18</f>
        <v>0</v>
      </c>
      <c r="R13" s="643">
        <f>SUM(C13:Q13)</f>
        <v>78329.142207095647</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83408.166877481111</v>
      </c>
      <c r="D16" s="675">
        <f t="shared" ref="D16:R16" ca="1" si="0">SUM(D9:D15)</f>
        <v>0</v>
      </c>
      <c r="E16" s="675">
        <f t="shared" ca="1" si="0"/>
        <v>163455.74212137985</v>
      </c>
      <c r="F16" s="675">
        <f t="shared" si="0"/>
        <v>2190.4892160955342</v>
      </c>
      <c r="G16" s="675">
        <f t="shared" ca="1" si="0"/>
        <v>39070.600206147195</v>
      </c>
      <c r="H16" s="675">
        <f t="shared" si="0"/>
        <v>0</v>
      </c>
      <c r="I16" s="675">
        <f t="shared" si="0"/>
        <v>0</v>
      </c>
      <c r="J16" s="675">
        <f t="shared" si="0"/>
        <v>0</v>
      </c>
      <c r="K16" s="675">
        <f t="shared" si="0"/>
        <v>642.89697233898983</v>
      </c>
      <c r="L16" s="675">
        <f t="shared" si="0"/>
        <v>0</v>
      </c>
      <c r="M16" s="675">
        <f t="shared" ca="1" si="0"/>
        <v>0</v>
      </c>
      <c r="N16" s="675">
        <f t="shared" si="0"/>
        <v>0</v>
      </c>
      <c r="O16" s="675">
        <f t="shared" ca="1" si="0"/>
        <v>20338.372802633694</v>
      </c>
      <c r="P16" s="675">
        <f t="shared" si="0"/>
        <v>98.490000000000009</v>
      </c>
      <c r="Q16" s="675">
        <f t="shared" si="0"/>
        <v>400.4</v>
      </c>
      <c r="R16" s="675">
        <f t="shared" ca="1" si="0"/>
        <v>309605.15819607634</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10.890129338064018</v>
      </c>
      <c r="D19" s="640">
        <f>transport!C54</f>
        <v>0</v>
      </c>
      <c r="E19" s="640">
        <f>transport!D54</f>
        <v>0</v>
      </c>
      <c r="F19" s="640">
        <f>transport!E54</f>
        <v>0</v>
      </c>
      <c r="G19" s="640">
        <f>transport!F54</f>
        <v>0</v>
      </c>
      <c r="H19" s="640">
        <f>transport!G54</f>
        <v>2119.7020550221705</v>
      </c>
      <c r="I19" s="640">
        <f>transport!H54</f>
        <v>0</v>
      </c>
      <c r="J19" s="640">
        <f>transport!I54</f>
        <v>0</v>
      </c>
      <c r="K19" s="640">
        <f>transport!J54</f>
        <v>0</v>
      </c>
      <c r="L19" s="640">
        <f>transport!K54</f>
        <v>0</v>
      </c>
      <c r="M19" s="640">
        <f>transport!L54</f>
        <v>0</v>
      </c>
      <c r="N19" s="640">
        <f>transport!M54</f>
        <v>95.049221259324071</v>
      </c>
      <c r="O19" s="640">
        <f>transport!N54</f>
        <v>0</v>
      </c>
      <c r="P19" s="640">
        <f>transport!O54</f>
        <v>0</v>
      </c>
      <c r="Q19" s="641">
        <f>transport!P54</f>
        <v>0</v>
      </c>
      <c r="R19" s="643">
        <f>SUM(C19:Q19)</f>
        <v>2225.6414056195586</v>
      </c>
      <c r="S19" s="67"/>
    </row>
    <row r="20" spans="1:19" s="444" customFormat="1">
      <c r="A20" s="754" t="s">
        <v>296</v>
      </c>
      <c r="B20" s="759"/>
      <c r="C20" s="640">
        <f>transport!B14</f>
        <v>21.113133394169498</v>
      </c>
      <c r="D20" s="640">
        <f>transport!C14</f>
        <v>0</v>
      </c>
      <c r="E20" s="640">
        <f>transport!D14</f>
        <v>17.964434306858362</v>
      </c>
      <c r="F20" s="640">
        <f>transport!E14</f>
        <v>722.64611516431353</v>
      </c>
      <c r="G20" s="640">
        <f>transport!F14</f>
        <v>0</v>
      </c>
      <c r="H20" s="640">
        <f>transport!G14</f>
        <v>215365.50485229923</v>
      </c>
      <c r="I20" s="640">
        <f>transport!H14</f>
        <v>33938.756602226647</v>
      </c>
      <c r="J20" s="640">
        <f>transport!I14</f>
        <v>0</v>
      </c>
      <c r="K20" s="640">
        <f>transport!J14</f>
        <v>0</v>
      </c>
      <c r="L20" s="640">
        <f>transport!K14</f>
        <v>0</v>
      </c>
      <c r="M20" s="640">
        <f>transport!L14</f>
        <v>0</v>
      </c>
      <c r="N20" s="640">
        <f>transport!M14</f>
        <v>11271.047734464259</v>
      </c>
      <c r="O20" s="640">
        <f>transport!N14</f>
        <v>0</v>
      </c>
      <c r="P20" s="640">
        <f>transport!O14</f>
        <v>0</v>
      </c>
      <c r="Q20" s="641">
        <f>transport!P14</f>
        <v>0</v>
      </c>
      <c r="R20" s="643">
        <f>SUM(C20:Q20)</f>
        <v>261337.03287185548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32.003262732233516</v>
      </c>
      <c r="D22" s="757">
        <f t="shared" ref="D22:R22" si="1">SUM(D18:D21)</f>
        <v>0</v>
      </c>
      <c r="E22" s="757">
        <f t="shared" si="1"/>
        <v>17.964434306858362</v>
      </c>
      <c r="F22" s="757">
        <f t="shared" si="1"/>
        <v>722.64611516431353</v>
      </c>
      <c r="G22" s="757">
        <f t="shared" si="1"/>
        <v>0</v>
      </c>
      <c r="H22" s="757">
        <f t="shared" si="1"/>
        <v>217485.20690732141</v>
      </c>
      <c r="I22" s="757">
        <f t="shared" si="1"/>
        <v>33938.756602226647</v>
      </c>
      <c r="J22" s="757">
        <f t="shared" si="1"/>
        <v>0</v>
      </c>
      <c r="K22" s="757">
        <f t="shared" si="1"/>
        <v>0</v>
      </c>
      <c r="L22" s="757">
        <f t="shared" si="1"/>
        <v>0</v>
      </c>
      <c r="M22" s="757">
        <f t="shared" si="1"/>
        <v>0</v>
      </c>
      <c r="N22" s="757">
        <f t="shared" si="1"/>
        <v>11366.096955723582</v>
      </c>
      <c r="O22" s="757">
        <f t="shared" si="1"/>
        <v>0</v>
      </c>
      <c r="P22" s="757">
        <f t="shared" si="1"/>
        <v>0</v>
      </c>
      <c r="Q22" s="757">
        <f t="shared" si="1"/>
        <v>0</v>
      </c>
      <c r="R22" s="757">
        <f t="shared" si="1"/>
        <v>263562.67427747505</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1561.6922980357642</v>
      </c>
      <c r="D24" s="640">
        <f>+landbouw!C8</f>
        <v>70707.857142857145</v>
      </c>
      <c r="E24" s="640">
        <f>+landbouw!D8</f>
        <v>723.32145146335824</v>
      </c>
      <c r="F24" s="640">
        <f>+landbouw!E8</f>
        <v>32.428087922286615</v>
      </c>
      <c r="G24" s="640">
        <f>+landbouw!F8</f>
        <v>5519.0604310843946</v>
      </c>
      <c r="H24" s="640">
        <f>+landbouw!G8</f>
        <v>0</v>
      </c>
      <c r="I24" s="640">
        <f>+landbouw!H8</f>
        <v>0</v>
      </c>
      <c r="J24" s="640">
        <f>+landbouw!I8</f>
        <v>0</v>
      </c>
      <c r="K24" s="640">
        <f>+landbouw!J8</f>
        <v>179.1162291458952</v>
      </c>
      <c r="L24" s="640">
        <f>+landbouw!K8</f>
        <v>0</v>
      </c>
      <c r="M24" s="640">
        <f>+landbouw!L8</f>
        <v>0</v>
      </c>
      <c r="N24" s="640">
        <f>+landbouw!M8</f>
        <v>0</v>
      </c>
      <c r="O24" s="640">
        <f>+landbouw!N8</f>
        <v>0</v>
      </c>
      <c r="P24" s="640">
        <f>+landbouw!O8</f>
        <v>0</v>
      </c>
      <c r="Q24" s="641">
        <f>+landbouw!P8</f>
        <v>0</v>
      </c>
      <c r="R24" s="643">
        <f>SUM(C24:Q24)</f>
        <v>78723.475640508841</v>
      </c>
      <c r="S24" s="67"/>
    </row>
    <row r="25" spans="1:19" s="444" customFormat="1" ht="15" thickBot="1">
      <c r="A25" s="776" t="s">
        <v>806</v>
      </c>
      <c r="B25" s="939"/>
      <c r="C25" s="940">
        <f>IF(Onbekend_ele_kWh="---",0,Onbekend_ele_kWh)/1000+IF(REST_rest_ele_kWh="---",0,REST_rest_ele_kWh)/1000</f>
        <v>4081.3198963423101</v>
      </c>
      <c r="D25" s="940"/>
      <c r="E25" s="940">
        <f>IF(onbekend_gas_kWh="---",0,onbekend_gas_kWh)/1000+IF(REST_rest_gas_kWh="---",0,REST_rest_gas_kWh)/1000</f>
        <v>4325.0405808282703</v>
      </c>
      <c r="F25" s="940"/>
      <c r="G25" s="940"/>
      <c r="H25" s="940"/>
      <c r="I25" s="940"/>
      <c r="J25" s="940"/>
      <c r="K25" s="940"/>
      <c r="L25" s="940"/>
      <c r="M25" s="940"/>
      <c r="N25" s="940"/>
      <c r="O25" s="940"/>
      <c r="P25" s="940"/>
      <c r="Q25" s="941"/>
      <c r="R25" s="643">
        <f>SUM(C25:Q25)</f>
        <v>8406.3604771705795</v>
      </c>
      <c r="S25" s="67"/>
    </row>
    <row r="26" spans="1:19" s="444" customFormat="1" ht="15.75" thickBot="1">
      <c r="A26" s="648" t="s">
        <v>807</v>
      </c>
      <c r="B26" s="762"/>
      <c r="C26" s="757">
        <f>SUM(C24:C25)</f>
        <v>5643.0121943780741</v>
      </c>
      <c r="D26" s="757">
        <f t="shared" ref="D26:R26" si="2">SUM(D24:D25)</f>
        <v>70707.857142857145</v>
      </c>
      <c r="E26" s="757">
        <f t="shared" si="2"/>
        <v>5048.3620322916286</v>
      </c>
      <c r="F26" s="757">
        <f t="shared" si="2"/>
        <v>32.428087922286615</v>
      </c>
      <c r="G26" s="757">
        <f t="shared" si="2"/>
        <v>5519.0604310843946</v>
      </c>
      <c r="H26" s="757">
        <f t="shared" si="2"/>
        <v>0</v>
      </c>
      <c r="I26" s="757">
        <f t="shared" si="2"/>
        <v>0</v>
      </c>
      <c r="J26" s="757">
        <f t="shared" si="2"/>
        <v>0</v>
      </c>
      <c r="K26" s="757">
        <f t="shared" si="2"/>
        <v>179.1162291458952</v>
      </c>
      <c r="L26" s="757">
        <f t="shared" si="2"/>
        <v>0</v>
      </c>
      <c r="M26" s="757">
        <f t="shared" si="2"/>
        <v>0</v>
      </c>
      <c r="N26" s="757">
        <f t="shared" si="2"/>
        <v>0</v>
      </c>
      <c r="O26" s="757">
        <f t="shared" si="2"/>
        <v>0</v>
      </c>
      <c r="P26" s="757">
        <f t="shared" si="2"/>
        <v>0</v>
      </c>
      <c r="Q26" s="757">
        <f t="shared" si="2"/>
        <v>0</v>
      </c>
      <c r="R26" s="757">
        <f t="shared" si="2"/>
        <v>87129.836117679428</v>
      </c>
      <c r="S26" s="67"/>
    </row>
    <row r="27" spans="1:19" s="444" customFormat="1" ht="17.25" thickTop="1" thickBot="1">
      <c r="A27" s="649" t="s">
        <v>109</v>
      </c>
      <c r="B27" s="749"/>
      <c r="C27" s="650">
        <f ca="1">C22+C16+C26</f>
        <v>89083.182334591416</v>
      </c>
      <c r="D27" s="650">
        <f t="shared" ref="D27:R27" ca="1" si="3">D22+D16+D26</f>
        <v>70707.857142857145</v>
      </c>
      <c r="E27" s="650">
        <f t="shared" ca="1" si="3"/>
        <v>168522.06858797834</v>
      </c>
      <c r="F27" s="650">
        <f t="shared" si="3"/>
        <v>2945.5634191821341</v>
      </c>
      <c r="G27" s="650">
        <f t="shared" ca="1" si="3"/>
        <v>44589.660637231587</v>
      </c>
      <c r="H27" s="650">
        <f t="shared" si="3"/>
        <v>217485.20690732141</v>
      </c>
      <c r="I27" s="650">
        <f t="shared" si="3"/>
        <v>33938.756602226647</v>
      </c>
      <c r="J27" s="650">
        <f t="shared" si="3"/>
        <v>0</v>
      </c>
      <c r="K27" s="650">
        <f t="shared" si="3"/>
        <v>822.01320148488503</v>
      </c>
      <c r="L27" s="650">
        <f t="shared" si="3"/>
        <v>0</v>
      </c>
      <c r="M27" s="650">
        <f t="shared" ca="1" si="3"/>
        <v>0</v>
      </c>
      <c r="N27" s="650">
        <f t="shared" si="3"/>
        <v>11366.096955723582</v>
      </c>
      <c r="O27" s="650">
        <f t="shared" ca="1" si="3"/>
        <v>20338.372802633694</v>
      </c>
      <c r="P27" s="650">
        <f t="shared" si="3"/>
        <v>98.490000000000009</v>
      </c>
      <c r="Q27" s="650">
        <f t="shared" si="3"/>
        <v>400.4</v>
      </c>
      <c r="R27" s="650">
        <f t="shared" ca="1" si="3"/>
        <v>660297.66859123087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8743.5625607979073</v>
      </c>
      <c r="D40" s="640">
        <f ca="1">tertiair!C20</f>
        <v>0</v>
      </c>
      <c r="E40" s="640">
        <f ca="1">tertiair!D20</f>
        <v>5524.2730519395827</v>
      </c>
      <c r="F40" s="640">
        <f>tertiair!E20</f>
        <v>32.906326554622815</v>
      </c>
      <c r="G40" s="640">
        <f ca="1">tertiair!F20</f>
        <v>1472.3960036459569</v>
      </c>
      <c r="H40" s="640">
        <f>tertiair!G20</f>
        <v>0</v>
      </c>
      <c r="I40" s="640">
        <f>tertiair!H20</f>
        <v>0</v>
      </c>
      <c r="J40" s="640">
        <f>tertiair!I20</f>
        <v>0</v>
      </c>
      <c r="K40" s="640">
        <f>tertiair!J20</f>
        <v>20.843180209761606</v>
      </c>
      <c r="L40" s="640">
        <f>tertiair!K20</f>
        <v>0</v>
      </c>
      <c r="M40" s="640">
        <f ca="1">tertiair!L20</f>
        <v>0</v>
      </c>
      <c r="N40" s="640">
        <f>tertiair!M20</f>
        <v>0</v>
      </c>
      <c r="O40" s="640">
        <f ca="1">tertiair!N20</f>
        <v>0</v>
      </c>
      <c r="P40" s="640">
        <f>tertiair!O20</f>
        <v>0</v>
      </c>
      <c r="Q40" s="717">
        <f>tertiair!P20</f>
        <v>0</v>
      </c>
      <c r="R40" s="795">
        <f t="shared" ca="1" si="4"/>
        <v>15793.981123147832</v>
      </c>
    </row>
    <row r="41" spans="1:18">
      <c r="A41" s="767" t="s">
        <v>214</v>
      </c>
      <c r="B41" s="774"/>
      <c r="C41" s="640">
        <f ca="1">huishoudens!B12</f>
        <v>6214.6993839107408</v>
      </c>
      <c r="D41" s="640">
        <f ca="1">huishoudens!C12</f>
        <v>0</v>
      </c>
      <c r="E41" s="640">
        <f>huishoudens!D12</f>
        <v>16270.579540280691</v>
      </c>
      <c r="F41" s="640">
        <f>huishoudens!E12</f>
        <v>212.23171934480419</v>
      </c>
      <c r="G41" s="640">
        <f>huishoudens!F12</f>
        <v>7650.0103377181267</v>
      </c>
      <c r="H41" s="640">
        <f>huishoudens!G12</f>
        <v>0</v>
      </c>
      <c r="I41" s="640">
        <f>huishoudens!H12</f>
        <v>0</v>
      </c>
      <c r="J41" s="640">
        <f>huishoudens!I12</f>
        <v>0</v>
      </c>
      <c r="K41" s="640">
        <f>huishoudens!J12</f>
        <v>192.08273784747001</v>
      </c>
      <c r="L41" s="640">
        <f>huishoudens!K12</f>
        <v>0</v>
      </c>
      <c r="M41" s="640">
        <f>huishoudens!L12</f>
        <v>0</v>
      </c>
      <c r="N41" s="640">
        <f>huishoudens!M12</f>
        <v>0</v>
      </c>
      <c r="O41" s="640">
        <f>huishoudens!N12</f>
        <v>0</v>
      </c>
      <c r="P41" s="640">
        <f>huishoudens!O12</f>
        <v>0</v>
      </c>
      <c r="Q41" s="717">
        <f>huishoudens!P12</f>
        <v>0</v>
      </c>
      <c r="R41" s="795">
        <f t="shared" ca="1" si="4"/>
        <v>30539.603719101833</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3533.8219182941361</v>
      </c>
      <c r="D43" s="640">
        <f ca="1">industrie!C22</f>
        <v>0</v>
      </c>
      <c r="E43" s="640">
        <f>industrie!D22</f>
        <v>11223.207316298458</v>
      </c>
      <c r="F43" s="640">
        <f>industrie!E22</f>
        <v>252.10300615425922</v>
      </c>
      <c r="G43" s="640">
        <f>industrie!F22</f>
        <v>1309.4439136772176</v>
      </c>
      <c r="H43" s="640">
        <f>industrie!G22</f>
        <v>0</v>
      </c>
      <c r="I43" s="640">
        <f>industrie!H22</f>
        <v>0</v>
      </c>
      <c r="J43" s="640">
        <f>industrie!I22</f>
        <v>0</v>
      </c>
      <c r="K43" s="640">
        <f>industrie!J22</f>
        <v>14.659610150770748</v>
      </c>
      <c r="L43" s="640">
        <f>industrie!K22</f>
        <v>0</v>
      </c>
      <c r="M43" s="640">
        <f>industrie!L22</f>
        <v>0</v>
      </c>
      <c r="N43" s="640">
        <f>industrie!M22</f>
        <v>0</v>
      </c>
      <c r="O43" s="640">
        <f>industrie!N22</f>
        <v>0</v>
      </c>
      <c r="P43" s="640">
        <f>industrie!O22</f>
        <v>0</v>
      </c>
      <c r="Q43" s="717">
        <f>industrie!P22</f>
        <v>0</v>
      </c>
      <c r="R43" s="794">
        <f t="shared" ca="1" si="4"/>
        <v>16333.235764574842</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18492.083863002783</v>
      </c>
      <c r="D46" s="675">
        <f t="shared" ref="D46:Q46" ca="1" si="5">SUM(D39:D45)</f>
        <v>0</v>
      </c>
      <c r="E46" s="675">
        <f t="shared" ca="1" si="5"/>
        <v>33018.059908518735</v>
      </c>
      <c r="F46" s="675">
        <f t="shared" si="5"/>
        <v>497.24105205368619</v>
      </c>
      <c r="G46" s="675">
        <f t="shared" ca="1" si="5"/>
        <v>10431.850255041301</v>
      </c>
      <c r="H46" s="675">
        <f t="shared" si="5"/>
        <v>0</v>
      </c>
      <c r="I46" s="675">
        <f t="shared" si="5"/>
        <v>0</v>
      </c>
      <c r="J46" s="675">
        <f t="shared" si="5"/>
        <v>0</v>
      </c>
      <c r="K46" s="675">
        <f t="shared" si="5"/>
        <v>227.58552820800239</v>
      </c>
      <c r="L46" s="675">
        <f t="shared" si="5"/>
        <v>0</v>
      </c>
      <c r="M46" s="675">
        <f t="shared" ca="1" si="5"/>
        <v>0</v>
      </c>
      <c r="N46" s="675">
        <f t="shared" si="5"/>
        <v>0</v>
      </c>
      <c r="O46" s="675">
        <f t="shared" ca="1" si="5"/>
        <v>0</v>
      </c>
      <c r="P46" s="675">
        <f t="shared" si="5"/>
        <v>0</v>
      </c>
      <c r="Q46" s="675">
        <f t="shared" si="5"/>
        <v>0</v>
      </c>
      <c r="R46" s="675">
        <f ca="1">SUM(R39:R45)</f>
        <v>62666.820606824505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2.4144060772158813</v>
      </c>
      <c r="D49" s="640">
        <f ca="1">transport!C58</f>
        <v>0</v>
      </c>
      <c r="E49" s="640">
        <f>transport!D58</f>
        <v>0</v>
      </c>
      <c r="F49" s="640">
        <f>transport!E58</f>
        <v>0</v>
      </c>
      <c r="G49" s="640">
        <f>transport!F58</f>
        <v>0</v>
      </c>
      <c r="H49" s="640">
        <f>transport!G58</f>
        <v>565.96044869091952</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568.37485476813538</v>
      </c>
    </row>
    <row r="50" spans="1:18">
      <c r="A50" s="770" t="s">
        <v>296</v>
      </c>
      <c r="B50" s="780"/>
      <c r="C50" s="646">
        <f ca="1">transport!B18</f>
        <v>4.6809065341196909</v>
      </c>
      <c r="D50" s="646">
        <f>transport!C18</f>
        <v>0</v>
      </c>
      <c r="E50" s="646">
        <f>transport!D18</f>
        <v>3.6288157299853894</v>
      </c>
      <c r="F50" s="646">
        <f>transport!E18</f>
        <v>164.04066814229918</v>
      </c>
      <c r="G50" s="646">
        <f>transport!F18</f>
        <v>0</v>
      </c>
      <c r="H50" s="646">
        <f>transport!G18</f>
        <v>57502.589795563894</v>
      </c>
      <c r="I50" s="646">
        <f>transport!H18</f>
        <v>8450.7503939544349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66125.690579924732</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7.0953126113355722</v>
      </c>
      <c r="D52" s="675">
        <f t="shared" ref="D52:Q52" ca="1" si="6">SUM(D48:D51)</f>
        <v>0</v>
      </c>
      <c r="E52" s="675">
        <f t="shared" si="6"/>
        <v>3.6288157299853894</v>
      </c>
      <c r="F52" s="675">
        <f t="shared" si="6"/>
        <v>164.04066814229918</v>
      </c>
      <c r="G52" s="675">
        <f t="shared" si="6"/>
        <v>0</v>
      </c>
      <c r="H52" s="675">
        <f t="shared" si="6"/>
        <v>58068.550244254817</v>
      </c>
      <c r="I52" s="675">
        <f t="shared" si="6"/>
        <v>8450.7503939544349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66694.065434692864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346.23641814240312</v>
      </c>
      <c r="D54" s="646">
        <f ca="1">+landbouw!C12</f>
        <v>16803.514285714289</v>
      </c>
      <c r="E54" s="646">
        <f>+landbouw!D12</f>
        <v>146.11093319559836</v>
      </c>
      <c r="F54" s="646">
        <f>+landbouw!E12</f>
        <v>7.3611759583590617</v>
      </c>
      <c r="G54" s="646">
        <f>+landbouw!F12</f>
        <v>1473.5891350995335</v>
      </c>
      <c r="H54" s="646">
        <f>+landbouw!G12</f>
        <v>0</v>
      </c>
      <c r="I54" s="646">
        <f>+landbouw!H12</f>
        <v>0</v>
      </c>
      <c r="J54" s="646">
        <f>+landbouw!I12</f>
        <v>0</v>
      </c>
      <c r="K54" s="646">
        <f>+landbouw!J12</f>
        <v>63.407145117646898</v>
      </c>
      <c r="L54" s="646">
        <f>+landbouw!K12</f>
        <v>0</v>
      </c>
      <c r="M54" s="646">
        <f>+landbouw!L12</f>
        <v>0</v>
      </c>
      <c r="N54" s="646">
        <f>+landbouw!M12</f>
        <v>0</v>
      </c>
      <c r="O54" s="646">
        <f>+landbouw!N12</f>
        <v>0</v>
      </c>
      <c r="P54" s="646">
        <f>+landbouw!O12</f>
        <v>0</v>
      </c>
      <c r="Q54" s="647">
        <f>+landbouw!P12</f>
        <v>0</v>
      </c>
      <c r="R54" s="674">
        <f ca="1">SUM(C54:Q54)</f>
        <v>18840.219093227828</v>
      </c>
    </row>
    <row r="55" spans="1:18" ht="15" thickBot="1">
      <c r="A55" s="770" t="s">
        <v>806</v>
      </c>
      <c r="B55" s="780"/>
      <c r="C55" s="646">
        <f ca="1">C25*'EF ele_warmte'!B12</f>
        <v>904.85275747356218</v>
      </c>
      <c r="D55" s="646"/>
      <c r="E55" s="646">
        <f>E25*EF_CO2_aardgas</f>
        <v>873.65819732731063</v>
      </c>
      <c r="F55" s="646"/>
      <c r="G55" s="646"/>
      <c r="H55" s="646"/>
      <c r="I55" s="646"/>
      <c r="J55" s="646"/>
      <c r="K55" s="646"/>
      <c r="L55" s="646"/>
      <c r="M55" s="646"/>
      <c r="N55" s="646"/>
      <c r="O55" s="646"/>
      <c r="P55" s="646"/>
      <c r="Q55" s="647"/>
      <c r="R55" s="674">
        <f ca="1">SUM(C55:Q55)</f>
        <v>1778.5109548008727</v>
      </c>
    </row>
    <row r="56" spans="1:18" ht="15.75" thickBot="1">
      <c r="A56" s="768" t="s">
        <v>807</v>
      </c>
      <c r="B56" s="781"/>
      <c r="C56" s="675">
        <f ca="1">SUM(C54:C55)</f>
        <v>1251.0891756159654</v>
      </c>
      <c r="D56" s="675">
        <f t="shared" ref="D56:Q56" ca="1" si="7">SUM(D54:D55)</f>
        <v>16803.514285714289</v>
      </c>
      <c r="E56" s="675">
        <f t="shared" si="7"/>
        <v>1019.769130522909</v>
      </c>
      <c r="F56" s="675">
        <f t="shared" si="7"/>
        <v>7.3611759583590617</v>
      </c>
      <c r="G56" s="675">
        <f t="shared" si="7"/>
        <v>1473.5891350995335</v>
      </c>
      <c r="H56" s="675">
        <f t="shared" si="7"/>
        <v>0</v>
      </c>
      <c r="I56" s="675">
        <f t="shared" si="7"/>
        <v>0</v>
      </c>
      <c r="J56" s="675">
        <f t="shared" si="7"/>
        <v>0</v>
      </c>
      <c r="K56" s="675">
        <f t="shared" si="7"/>
        <v>63.407145117646898</v>
      </c>
      <c r="L56" s="675">
        <f t="shared" si="7"/>
        <v>0</v>
      </c>
      <c r="M56" s="675">
        <f t="shared" si="7"/>
        <v>0</v>
      </c>
      <c r="N56" s="675">
        <f t="shared" si="7"/>
        <v>0</v>
      </c>
      <c r="O56" s="675">
        <f t="shared" si="7"/>
        <v>0</v>
      </c>
      <c r="P56" s="675">
        <f t="shared" si="7"/>
        <v>0</v>
      </c>
      <c r="Q56" s="676">
        <f t="shared" si="7"/>
        <v>0</v>
      </c>
      <c r="R56" s="677">
        <f ca="1">SUM(R54:R55)</f>
        <v>20618.730048028701</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19750.268351230083</v>
      </c>
      <c r="D61" s="683">
        <f t="shared" ref="D61:Q61" ca="1" si="8">D46+D52+D56</f>
        <v>16803.514285714289</v>
      </c>
      <c r="E61" s="683">
        <f t="shared" ca="1" si="8"/>
        <v>34041.45785477163</v>
      </c>
      <c r="F61" s="683">
        <f t="shared" si="8"/>
        <v>668.64289615434438</v>
      </c>
      <c r="G61" s="683">
        <f t="shared" ca="1" si="8"/>
        <v>11905.439390140835</v>
      </c>
      <c r="H61" s="683">
        <f t="shared" si="8"/>
        <v>58068.550244254817</v>
      </c>
      <c r="I61" s="683">
        <f t="shared" si="8"/>
        <v>8450.7503939544349</v>
      </c>
      <c r="J61" s="683">
        <f t="shared" si="8"/>
        <v>0</v>
      </c>
      <c r="K61" s="683">
        <f t="shared" si="8"/>
        <v>290.99267332564926</v>
      </c>
      <c r="L61" s="683">
        <f t="shared" si="8"/>
        <v>0</v>
      </c>
      <c r="M61" s="683">
        <f t="shared" ca="1" si="8"/>
        <v>0</v>
      </c>
      <c r="N61" s="683">
        <f t="shared" si="8"/>
        <v>0</v>
      </c>
      <c r="O61" s="683">
        <f t="shared" ca="1" si="8"/>
        <v>0</v>
      </c>
      <c r="P61" s="683">
        <f t="shared" si="8"/>
        <v>0</v>
      </c>
      <c r="Q61" s="683">
        <f t="shared" si="8"/>
        <v>0</v>
      </c>
      <c r="R61" s="683">
        <f ca="1">R46+R52+R56</f>
        <v>149979.61608954606</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0.22170591388449939</v>
      </c>
      <c r="D63" s="726">
        <f t="shared" ca="1" si="9"/>
        <v>0.23764705882352946</v>
      </c>
      <c r="E63" s="946">
        <f t="shared" ca="1" si="9"/>
        <v>0.20200000000000004</v>
      </c>
      <c r="F63" s="726">
        <f t="shared" si="9"/>
        <v>0.22699999999999998</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3443.7531435050691</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49495.5</v>
      </c>
      <c r="D76" s="956">
        <f>'lokale energieproductie'!C8</f>
        <v>58230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11762.460000000001</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3443.7531435050691</v>
      </c>
      <c r="C78" s="698">
        <f>SUM(C72:C77)</f>
        <v>49495.5</v>
      </c>
      <c r="D78" s="699">
        <f t="shared" ref="D78:H78" si="10">SUM(D76:D77)</f>
        <v>58230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11762.460000000001</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70707.857142857145</v>
      </c>
      <c r="D87" s="720">
        <f>'lokale energieproductie'!C17</f>
        <v>83185.71428571429</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16803.514285714289</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70707.857142857145</v>
      </c>
      <c r="D90" s="698">
        <f t="shared" ref="D90:H90" si="12">SUM(D87:D89)</f>
        <v>83185.71428571429</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16803.514285714289</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28031.274741495483</v>
      </c>
      <c r="C4" s="448">
        <f>huishoudens!C8</f>
        <v>0</v>
      </c>
      <c r="D4" s="448">
        <f>huishoudens!D8</f>
        <v>80547.423466736087</v>
      </c>
      <c r="E4" s="448">
        <f>huishoudens!E8</f>
        <v>934.94149491103167</v>
      </c>
      <c r="F4" s="448">
        <f>huishoudens!F8</f>
        <v>28651.724111303844</v>
      </c>
      <c r="G4" s="448">
        <f>huishoudens!G8</f>
        <v>0</v>
      </c>
      <c r="H4" s="448">
        <f>huishoudens!H8</f>
        <v>0</v>
      </c>
      <c r="I4" s="448">
        <f>huishoudens!I8</f>
        <v>0</v>
      </c>
      <c r="J4" s="448">
        <f>huishoudens!J8</f>
        <v>542.60660408889839</v>
      </c>
      <c r="K4" s="448">
        <f>huishoudens!K8</f>
        <v>0</v>
      </c>
      <c r="L4" s="448">
        <f>huishoudens!L8</f>
        <v>0</v>
      </c>
      <c r="M4" s="448">
        <f>huishoudens!M8</f>
        <v>0</v>
      </c>
      <c r="N4" s="448">
        <f>huishoudens!N8</f>
        <v>9089.4539215471577</v>
      </c>
      <c r="O4" s="448">
        <f>huishoudens!O8</f>
        <v>98.490000000000009</v>
      </c>
      <c r="P4" s="449">
        <f>huishoudens!P8</f>
        <v>400.4</v>
      </c>
      <c r="Q4" s="450">
        <f>SUM(B4:P4)</f>
        <v>148296.31434008249</v>
      </c>
    </row>
    <row r="5" spans="1:17">
      <c r="A5" s="447" t="s">
        <v>149</v>
      </c>
      <c r="B5" s="448">
        <f ca="1">tertiair!B16</f>
        <v>38358.278491785444</v>
      </c>
      <c r="C5" s="448">
        <f ca="1">tertiair!C16</f>
        <v>0</v>
      </c>
      <c r="D5" s="448">
        <f ca="1">tertiair!D16</f>
        <v>27347.886395740508</v>
      </c>
      <c r="E5" s="448">
        <f>tertiair!E16</f>
        <v>144.96179098952783</v>
      </c>
      <c r="F5" s="448">
        <f ca="1">tertiair!F16</f>
        <v>5514.5917739548941</v>
      </c>
      <c r="G5" s="448">
        <f>tertiair!G16</f>
        <v>0</v>
      </c>
      <c r="H5" s="448">
        <f>tertiair!H16</f>
        <v>0</v>
      </c>
      <c r="I5" s="448">
        <f>tertiair!I16</f>
        <v>0</v>
      </c>
      <c r="J5" s="448">
        <f>tertiair!J16</f>
        <v>58.879040140569508</v>
      </c>
      <c r="K5" s="448">
        <f>tertiair!K16</f>
        <v>0</v>
      </c>
      <c r="L5" s="448">
        <f ca="1">tertiair!L16</f>
        <v>0</v>
      </c>
      <c r="M5" s="448">
        <f>tertiair!M16</f>
        <v>0</v>
      </c>
      <c r="N5" s="448">
        <f ca="1">tertiair!N16</f>
        <v>10475.72215628728</v>
      </c>
      <c r="O5" s="448">
        <f>tertiair!O16</f>
        <v>0</v>
      </c>
      <c r="P5" s="449">
        <f>tertiair!P16</f>
        <v>0</v>
      </c>
      <c r="Q5" s="447">
        <f t="shared" ref="Q5:Q14" ca="1" si="0">SUM(B5:P5)</f>
        <v>81900.319648898236</v>
      </c>
    </row>
    <row r="6" spans="1:17">
      <c r="A6" s="447" t="s">
        <v>187</v>
      </c>
      <c r="B6" s="448">
        <f>'openbare verlichting'!B8</f>
        <v>1079.3820000000001</v>
      </c>
      <c r="C6" s="448"/>
      <c r="D6" s="448"/>
      <c r="E6" s="448"/>
      <c r="F6" s="448"/>
      <c r="G6" s="448"/>
      <c r="H6" s="448"/>
      <c r="I6" s="448"/>
      <c r="J6" s="448"/>
      <c r="K6" s="448"/>
      <c r="L6" s="448"/>
      <c r="M6" s="448"/>
      <c r="N6" s="448"/>
      <c r="O6" s="448"/>
      <c r="P6" s="449"/>
      <c r="Q6" s="447">
        <f t="shared" si="0"/>
        <v>1079.3820000000001</v>
      </c>
    </row>
    <row r="7" spans="1:17">
      <c r="A7" s="447" t="s">
        <v>105</v>
      </c>
      <c r="B7" s="448">
        <f>landbouw!B8</f>
        <v>1561.6922980357642</v>
      </c>
      <c r="C7" s="448">
        <f>landbouw!C8</f>
        <v>70707.857142857145</v>
      </c>
      <c r="D7" s="448">
        <f>landbouw!D8</f>
        <v>723.32145146335824</v>
      </c>
      <c r="E7" s="448">
        <f>landbouw!E8</f>
        <v>32.428087922286615</v>
      </c>
      <c r="F7" s="448">
        <f>landbouw!F8</f>
        <v>5519.0604310843946</v>
      </c>
      <c r="G7" s="448">
        <f>landbouw!G8</f>
        <v>0</v>
      </c>
      <c r="H7" s="448">
        <f>landbouw!H8</f>
        <v>0</v>
      </c>
      <c r="I7" s="448">
        <f>landbouw!I8</f>
        <v>0</v>
      </c>
      <c r="J7" s="448">
        <f>landbouw!J8</f>
        <v>179.1162291458952</v>
      </c>
      <c r="K7" s="448">
        <f>landbouw!K8</f>
        <v>0</v>
      </c>
      <c r="L7" s="448">
        <f>landbouw!L8</f>
        <v>0</v>
      </c>
      <c r="M7" s="448">
        <f>landbouw!M8</f>
        <v>0</v>
      </c>
      <c r="N7" s="448">
        <f>landbouw!N8</f>
        <v>0</v>
      </c>
      <c r="O7" s="448">
        <f>landbouw!O8</f>
        <v>0</v>
      </c>
      <c r="P7" s="449">
        <f>landbouw!P8</f>
        <v>0</v>
      </c>
      <c r="Q7" s="447">
        <f t="shared" si="0"/>
        <v>78723.475640508841</v>
      </c>
    </row>
    <row r="8" spans="1:17">
      <c r="A8" s="447" t="s">
        <v>614</v>
      </c>
      <c r="B8" s="448">
        <f>industrie!B18</f>
        <v>15939.231644200196</v>
      </c>
      <c r="C8" s="448">
        <f>industrie!C18</f>
        <v>0</v>
      </c>
      <c r="D8" s="448">
        <f>industrie!D18</f>
        <v>55560.432258903253</v>
      </c>
      <c r="E8" s="448">
        <f>industrie!E18</f>
        <v>1110.5859301949745</v>
      </c>
      <c r="F8" s="448">
        <f>industrie!F18</f>
        <v>4904.2843208884551</v>
      </c>
      <c r="G8" s="448">
        <f>industrie!G18</f>
        <v>0</v>
      </c>
      <c r="H8" s="448">
        <f>industrie!H18</f>
        <v>0</v>
      </c>
      <c r="I8" s="448">
        <f>industrie!I18</f>
        <v>0</v>
      </c>
      <c r="J8" s="448">
        <f>industrie!J18</f>
        <v>41.411328109521889</v>
      </c>
      <c r="K8" s="448">
        <f>industrie!K18</f>
        <v>0</v>
      </c>
      <c r="L8" s="448">
        <f>industrie!L18</f>
        <v>0</v>
      </c>
      <c r="M8" s="448">
        <f>industrie!M18</f>
        <v>0</v>
      </c>
      <c r="N8" s="448">
        <f>industrie!N18</f>
        <v>773.19672479925487</v>
      </c>
      <c r="O8" s="448">
        <f>industrie!O18</f>
        <v>0</v>
      </c>
      <c r="P8" s="449">
        <f>industrie!P18</f>
        <v>0</v>
      </c>
      <c r="Q8" s="447">
        <f t="shared" si="0"/>
        <v>78329.142207095647</v>
      </c>
    </row>
    <row r="9" spans="1:17" s="453" customFormat="1">
      <c r="A9" s="451" t="s">
        <v>555</v>
      </c>
      <c r="B9" s="452">
        <f>transport!B14</f>
        <v>21.113133394169498</v>
      </c>
      <c r="C9" s="452">
        <f>transport!C14</f>
        <v>0</v>
      </c>
      <c r="D9" s="452">
        <f>transport!D14</f>
        <v>17.964434306858362</v>
      </c>
      <c r="E9" s="452">
        <f>transport!E14</f>
        <v>722.64611516431353</v>
      </c>
      <c r="F9" s="452">
        <f>transport!F14</f>
        <v>0</v>
      </c>
      <c r="G9" s="452">
        <f>transport!G14</f>
        <v>215365.50485229923</v>
      </c>
      <c r="H9" s="452">
        <f>transport!H14</f>
        <v>33938.756602226647</v>
      </c>
      <c r="I9" s="452">
        <f>transport!I14</f>
        <v>0</v>
      </c>
      <c r="J9" s="452">
        <f>transport!J14</f>
        <v>0</v>
      </c>
      <c r="K9" s="452">
        <f>transport!K14</f>
        <v>0</v>
      </c>
      <c r="L9" s="452">
        <f>transport!L14</f>
        <v>0</v>
      </c>
      <c r="M9" s="452">
        <f>transport!M14</f>
        <v>11271.047734464259</v>
      </c>
      <c r="N9" s="452">
        <f>transport!N14</f>
        <v>0</v>
      </c>
      <c r="O9" s="452">
        <f>transport!O14</f>
        <v>0</v>
      </c>
      <c r="P9" s="452">
        <f>transport!P14</f>
        <v>0</v>
      </c>
      <c r="Q9" s="451">
        <f>SUM(B9:P9)</f>
        <v>261337.03287185548</v>
      </c>
    </row>
    <row r="10" spans="1:17">
      <c r="A10" s="447" t="s">
        <v>545</v>
      </c>
      <c r="B10" s="448">
        <f>transport!B54</f>
        <v>10.890129338064018</v>
      </c>
      <c r="C10" s="448">
        <f>transport!C54</f>
        <v>0</v>
      </c>
      <c r="D10" s="448">
        <f>transport!D54</f>
        <v>0</v>
      </c>
      <c r="E10" s="448">
        <f>transport!E54</f>
        <v>0</v>
      </c>
      <c r="F10" s="448">
        <f>transport!F54</f>
        <v>0</v>
      </c>
      <c r="G10" s="448">
        <f>transport!G54</f>
        <v>2119.7020550221705</v>
      </c>
      <c r="H10" s="448">
        <f>transport!H54</f>
        <v>0</v>
      </c>
      <c r="I10" s="448">
        <f>transport!I54</f>
        <v>0</v>
      </c>
      <c r="J10" s="448">
        <f>transport!J54</f>
        <v>0</v>
      </c>
      <c r="K10" s="448">
        <f>transport!K54</f>
        <v>0</v>
      </c>
      <c r="L10" s="448">
        <f>transport!L54</f>
        <v>0</v>
      </c>
      <c r="M10" s="448">
        <f>transport!M54</f>
        <v>95.049221259324071</v>
      </c>
      <c r="N10" s="448">
        <f>transport!N54</f>
        <v>0</v>
      </c>
      <c r="O10" s="448">
        <f>transport!O54</f>
        <v>0</v>
      </c>
      <c r="P10" s="449">
        <f>transport!P54</f>
        <v>0</v>
      </c>
      <c r="Q10" s="447">
        <f t="shared" si="0"/>
        <v>2225.6414056195586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4081.3198963423101</v>
      </c>
      <c r="C14" s="455"/>
      <c r="D14" s="455">
        <f>'SEAP template'!E25</f>
        <v>4325.0405808282703</v>
      </c>
      <c r="E14" s="455"/>
      <c r="F14" s="455"/>
      <c r="G14" s="455"/>
      <c r="H14" s="455"/>
      <c r="I14" s="455"/>
      <c r="J14" s="455"/>
      <c r="K14" s="455"/>
      <c r="L14" s="455"/>
      <c r="M14" s="455"/>
      <c r="N14" s="455"/>
      <c r="O14" s="455"/>
      <c r="P14" s="456"/>
      <c r="Q14" s="447">
        <f t="shared" si="0"/>
        <v>8406.3604771705795</v>
      </c>
    </row>
    <row r="15" spans="1:17" s="460" customFormat="1">
      <c r="A15" s="457" t="s">
        <v>549</v>
      </c>
      <c r="B15" s="458">
        <f ca="1">SUM(B4:B14)</f>
        <v>89083.182334591416</v>
      </c>
      <c r="C15" s="458">
        <f t="shared" ref="C15:Q15" ca="1" si="1">SUM(C4:C14)</f>
        <v>70707.857142857145</v>
      </c>
      <c r="D15" s="458">
        <f t="shared" ca="1" si="1"/>
        <v>168522.06858797834</v>
      </c>
      <c r="E15" s="458">
        <f t="shared" si="1"/>
        <v>2945.5634191821337</v>
      </c>
      <c r="F15" s="458">
        <f t="shared" ca="1" si="1"/>
        <v>44589.660637231587</v>
      </c>
      <c r="G15" s="458">
        <f t="shared" si="1"/>
        <v>217485.20690732141</v>
      </c>
      <c r="H15" s="458">
        <f t="shared" si="1"/>
        <v>33938.756602226647</v>
      </c>
      <c r="I15" s="458">
        <f t="shared" si="1"/>
        <v>0</v>
      </c>
      <c r="J15" s="458">
        <f t="shared" si="1"/>
        <v>822.01320148488503</v>
      </c>
      <c r="K15" s="458">
        <f t="shared" si="1"/>
        <v>0</v>
      </c>
      <c r="L15" s="458">
        <f t="shared" ca="1" si="1"/>
        <v>0</v>
      </c>
      <c r="M15" s="458">
        <f t="shared" si="1"/>
        <v>11366.096955723582</v>
      </c>
      <c r="N15" s="458">
        <f t="shared" ca="1" si="1"/>
        <v>20338.372802633694</v>
      </c>
      <c r="O15" s="458">
        <f t="shared" si="1"/>
        <v>98.490000000000009</v>
      </c>
      <c r="P15" s="458">
        <f t="shared" si="1"/>
        <v>400.4</v>
      </c>
      <c r="Q15" s="458">
        <f t="shared" ca="1" si="1"/>
        <v>660297.66859123087</v>
      </c>
    </row>
    <row r="17" spans="1:17">
      <c r="A17" s="461" t="s">
        <v>550</v>
      </c>
      <c r="B17" s="731">
        <f ca="1">huishoudens!B10</f>
        <v>0.22170591388449939</v>
      </c>
      <c r="C17" s="731">
        <f ca="1">huishoudens!C10</f>
        <v>0.23764705882352946</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6214.6993839107408</v>
      </c>
      <c r="C22" s="448">
        <f t="shared" ref="C22:C32" ca="1" si="3">C4*$C$17</f>
        <v>0</v>
      </c>
      <c r="D22" s="448">
        <f t="shared" ref="D22:D32" si="4">D4*$D$17</f>
        <v>16270.579540280691</v>
      </c>
      <c r="E22" s="448">
        <f t="shared" ref="E22:E32" si="5">E4*$E$17</f>
        <v>212.23171934480419</v>
      </c>
      <c r="F22" s="448">
        <f t="shared" ref="F22:F32" si="6">F4*$F$17</f>
        <v>7650.0103377181267</v>
      </c>
      <c r="G22" s="448">
        <f t="shared" ref="G22:G32" si="7">G4*$G$17</f>
        <v>0</v>
      </c>
      <c r="H22" s="448">
        <f t="shared" ref="H22:H32" si="8">H4*$H$17</f>
        <v>0</v>
      </c>
      <c r="I22" s="448">
        <f t="shared" ref="I22:I32" si="9">I4*$I$17</f>
        <v>0</v>
      </c>
      <c r="J22" s="448">
        <f t="shared" ref="J22:J32" si="10">J4*$J$17</f>
        <v>192.08273784747001</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30539.603719101833</v>
      </c>
    </row>
    <row r="23" spans="1:17">
      <c r="A23" s="447" t="s">
        <v>149</v>
      </c>
      <c r="B23" s="448">
        <f t="shared" ca="1" si="2"/>
        <v>8504.2571880574287</v>
      </c>
      <c r="C23" s="448">
        <f t="shared" ca="1" si="3"/>
        <v>0</v>
      </c>
      <c r="D23" s="448">
        <f t="shared" ca="1" si="4"/>
        <v>5524.2730519395827</v>
      </c>
      <c r="E23" s="448">
        <f t="shared" si="5"/>
        <v>32.906326554622815</v>
      </c>
      <c r="F23" s="448">
        <f t="shared" ca="1" si="6"/>
        <v>1472.3960036459569</v>
      </c>
      <c r="G23" s="448">
        <f t="shared" si="7"/>
        <v>0</v>
      </c>
      <c r="H23" s="448">
        <f t="shared" si="8"/>
        <v>0</v>
      </c>
      <c r="I23" s="448">
        <f t="shared" si="9"/>
        <v>0</v>
      </c>
      <c r="J23" s="448">
        <f t="shared" si="10"/>
        <v>20.843180209761606</v>
      </c>
      <c r="K23" s="448">
        <f t="shared" si="11"/>
        <v>0</v>
      </c>
      <c r="L23" s="448">
        <f t="shared" ca="1" si="12"/>
        <v>0</v>
      </c>
      <c r="M23" s="448">
        <f t="shared" si="13"/>
        <v>0</v>
      </c>
      <c r="N23" s="448">
        <f t="shared" ca="1" si="14"/>
        <v>0</v>
      </c>
      <c r="O23" s="448">
        <f t="shared" si="15"/>
        <v>0</v>
      </c>
      <c r="P23" s="449">
        <f t="shared" si="16"/>
        <v>0</v>
      </c>
      <c r="Q23" s="447">
        <f t="shared" ref="Q23:Q32" ca="1" si="17">SUM(B23:P23)</f>
        <v>15554.675750407354</v>
      </c>
    </row>
    <row r="24" spans="1:17">
      <c r="A24" s="447" t="s">
        <v>187</v>
      </c>
      <c r="B24" s="448">
        <f t="shared" ca="1" si="2"/>
        <v>239.30537274047873</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239.30537274047873</v>
      </c>
    </row>
    <row r="25" spans="1:17">
      <c r="A25" s="447" t="s">
        <v>105</v>
      </c>
      <c r="B25" s="448">
        <f t="shared" ca="1" si="2"/>
        <v>346.23641814240312</v>
      </c>
      <c r="C25" s="448">
        <f t="shared" ca="1" si="3"/>
        <v>16803.514285714289</v>
      </c>
      <c r="D25" s="448">
        <f t="shared" si="4"/>
        <v>146.11093319559836</v>
      </c>
      <c r="E25" s="448">
        <f t="shared" si="5"/>
        <v>7.3611759583590617</v>
      </c>
      <c r="F25" s="448">
        <f t="shared" si="6"/>
        <v>1473.5891350995335</v>
      </c>
      <c r="G25" s="448">
        <f t="shared" si="7"/>
        <v>0</v>
      </c>
      <c r="H25" s="448">
        <f t="shared" si="8"/>
        <v>0</v>
      </c>
      <c r="I25" s="448">
        <f t="shared" si="9"/>
        <v>0</v>
      </c>
      <c r="J25" s="448">
        <f t="shared" si="10"/>
        <v>63.407145117646898</v>
      </c>
      <c r="K25" s="448">
        <f t="shared" si="11"/>
        <v>0</v>
      </c>
      <c r="L25" s="448">
        <f t="shared" si="12"/>
        <v>0</v>
      </c>
      <c r="M25" s="448">
        <f t="shared" si="13"/>
        <v>0</v>
      </c>
      <c r="N25" s="448">
        <f t="shared" si="14"/>
        <v>0</v>
      </c>
      <c r="O25" s="448">
        <f t="shared" si="15"/>
        <v>0</v>
      </c>
      <c r="P25" s="449">
        <f t="shared" si="16"/>
        <v>0</v>
      </c>
      <c r="Q25" s="447">
        <f t="shared" ca="1" si="17"/>
        <v>18840.219093227828</v>
      </c>
    </row>
    <row r="26" spans="1:17">
      <c r="A26" s="447" t="s">
        <v>614</v>
      </c>
      <c r="B26" s="448">
        <f t="shared" ca="1" si="2"/>
        <v>3533.8219182941361</v>
      </c>
      <c r="C26" s="448">
        <f t="shared" ca="1" si="3"/>
        <v>0</v>
      </c>
      <c r="D26" s="448">
        <f t="shared" si="4"/>
        <v>11223.207316298458</v>
      </c>
      <c r="E26" s="448">
        <f t="shared" si="5"/>
        <v>252.10300615425922</v>
      </c>
      <c r="F26" s="448">
        <f t="shared" si="6"/>
        <v>1309.4439136772176</v>
      </c>
      <c r="G26" s="448">
        <f t="shared" si="7"/>
        <v>0</v>
      </c>
      <c r="H26" s="448">
        <f t="shared" si="8"/>
        <v>0</v>
      </c>
      <c r="I26" s="448">
        <f t="shared" si="9"/>
        <v>0</v>
      </c>
      <c r="J26" s="448">
        <f t="shared" si="10"/>
        <v>14.659610150770748</v>
      </c>
      <c r="K26" s="448">
        <f t="shared" si="11"/>
        <v>0</v>
      </c>
      <c r="L26" s="448">
        <f t="shared" si="12"/>
        <v>0</v>
      </c>
      <c r="M26" s="448">
        <f t="shared" si="13"/>
        <v>0</v>
      </c>
      <c r="N26" s="448">
        <f t="shared" si="14"/>
        <v>0</v>
      </c>
      <c r="O26" s="448">
        <f t="shared" si="15"/>
        <v>0</v>
      </c>
      <c r="P26" s="449">
        <f t="shared" si="16"/>
        <v>0</v>
      </c>
      <c r="Q26" s="447">
        <f t="shared" ca="1" si="17"/>
        <v>16333.235764574842</v>
      </c>
    </row>
    <row r="27" spans="1:17" s="453" customFormat="1">
      <c r="A27" s="451" t="s">
        <v>555</v>
      </c>
      <c r="B27" s="725">
        <f t="shared" ca="1" si="2"/>
        <v>4.6809065341196909</v>
      </c>
      <c r="C27" s="452">
        <f t="shared" ca="1" si="3"/>
        <v>0</v>
      </c>
      <c r="D27" s="452">
        <f t="shared" si="4"/>
        <v>3.6288157299853894</v>
      </c>
      <c r="E27" s="452">
        <f t="shared" si="5"/>
        <v>164.04066814229918</v>
      </c>
      <c r="F27" s="452">
        <f t="shared" si="6"/>
        <v>0</v>
      </c>
      <c r="G27" s="452">
        <f t="shared" si="7"/>
        <v>57502.589795563894</v>
      </c>
      <c r="H27" s="452">
        <f t="shared" si="8"/>
        <v>8450.7503939544349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66125.690579924732</v>
      </c>
    </row>
    <row r="28" spans="1:17">
      <c r="A28" s="447" t="s">
        <v>545</v>
      </c>
      <c r="B28" s="448">
        <f t="shared" ca="1" si="2"/>
        <v>2.4144060772158813</v>
      </c>
      <c r="C28" s="448">
        <f t="shared" ca="1" si="3"/>
        <v>0</v>
      </c>
      <c r="D28" s="448">
        <f t="shared" si="4"/>
        <v>0</v>
      </c>
      <c r="E28" s="448">
        <f t="shared" si="5"/>
        <v>0</v>
      </c>
      <c r="F28" s="448">
        <f t="shared" si="6"/>
        <v>0</v>
      </c>
      <c r="G28" s="448">
        <f t="shared" si="7"/>
        <v>565.96044869091952</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568.37485476813538</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904.85275747356218</v>
      </c>
      <c r="C32" s="448">
        <f t="shared" ca="1" si="3"/>
        <v>0</v>
      </c>
      <c r="D32" s="448">
        <f t="shared" si="4"/>
        <v>873.65819732731063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1778.5109548008727</v>
      </c>
    </row>
    <row r="33" spans="1:17" s="460" customFormat="1">
      <c r="A33" s="457" t="s">
        <v>549</v>
      </c>
      <c r="B33" s="458">
        <f ca="1">SUM(B22:B32)</f>
        <v>19750.268351230086</v>
      </c>
      <c r="C33" s="458">
        <f t="shared" ref="C33:Q33" ca="1" si="18">SUM(C22:C32)</f>
        <v>16803.514285714289</v>
      </c>
      <c r="D33" s="458">
        <f t="shared" ca="1" si="18"/>
        <v>34041.45785477163</v>
      </c>
      <c r="E33" s="458">
        <f t="shared" si="18"/>
        <v>668.6428961543445</v>
      </c>
      <c r="F33" s="458">
        <f t="shared" ca="1" si="18"/>
        <v>11905.439390140835</v>
      </c>
      <c r="G33" s="458">
        <f t="shared" si="18"/>
        <v>58068.550244254817</v>
      </c>
      <c r="H33" s="458">
        <f t="shared" si="18"/>
        <v>8450.7503939544349</v>
      </c>
      <c r="I33" s="458">
        <f t="shared" si="18"/>
        <v>0</v>
      </c>
      <c r="J33" s="458">
        <f t="shared" si="18"/>
        <v>290.99267332564926</v>
      </c>
      <c r="K33" s="458">
        <f t="shared" si="18"/>
        <v>0</v>
      </c>
      <c r="L33" s="458">
        <f t="shared" ca="1" si="18"/>
        <v>0</v>
      </c>
      <c r="M33" s="458">
        <f t="shared" si="18"/>
        <v>0</v>
      </c>
      <c r="N33" s="458">
        <f t="shared" ca="1" si="18"/>
        <v>0</v>
      </c>
      <c r="O33" s="458">
        <f t="shared" si="18"/>
        <v>0</v>
      </c>
      <c r="P33" s="458">
        <f t="shared" si="18"/>
        <v>0</v>
      </c>
      <c r="Q33" s="458">
        <f t="shared" ca="1" si="18"/>
        <v>149979.61608954609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3443.7531435050691</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49495.5</v>
      </c>
      <c r="D8" s="982">
        <f>'SEAP template'!D76</f>
        <v>58230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11762.460000000001</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3443.7531435050691</v>
      </c>
      <c r="C10" s="986">
        <f>SUM(C4:C9)</f>
        <v>49495.5</v>
      </c>
      <c r="D10" s="986">
        <f t="shared" ref="D10:H10" si="0">SUM(D8:D9)</f>
        <v>58230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11762.460000000001</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0.22170591388449939</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70707.857142857145</v>
      </c>
      <c r="D17" s="983">
        <f>'SEAP template'!D87</f>
        <v>83185.71428571429</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16803.514285714289</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70707.857142857145</v>
      </c>
      <c r="D20" s="986">
        <f t="shared" ref="D20:H20" si="2">SUM(D17:D19)</f>
        <v>83185.71428571429</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16803.514285714289</v>
      </c>
    </row>
    <row r="22" spans="1:16">
      <c r="A22" s="461" t="s">
        <v>829</v>
      </c>
      <c r="B22" s="731" t="s">
        <v>823</v>
      </c>
      <c r="C22" s="731">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0.22170591388449939</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2022-07-26T11:50:53Z</dcterms:modified>
</cp:coreProperties>
</file>