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A5729A59-0734-4165-81AD-D9A95CA68A97}"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<sst xmlns="http://schemas.openxmlformats.org/spreadsheetml/2006/main" count="2502" uniqueCount="946">
  <si>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</si>
  <si>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</si>
  <si>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</si>
  <si>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</si>
  <si>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</si>
  <si>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</si>
  <si>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</si>
  <si>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</si>
  <si>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</si>
  <si>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</si>
  <si>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</si>
  <si>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</si>
  <si>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</si>
  <si>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</si>
  <si>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</si>
  <si>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</si>
  <si>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</si>
  <si>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</si>
  <si>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</si>
  <si>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</si>
  <si>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</si>
  <si>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</si>
  <si>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</si>
  <si>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</si>
  <si>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</si>
  <si>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</si>
  <si>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</si>
  <si>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</si>
  <si>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</si>
  <si>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</si>
  <si>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</si>
  <si>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</si>
  <si>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</si>
  <si>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</si>
  <si>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</si>
  <si>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</si>
  <si>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</si>
  <si>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</si>
  <si>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</si>
  <si>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</si>
  <si>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</si>
  <si>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</si>
  <si>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</si>
  <si>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</si>
  <si>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</si>
  <si>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</si>
  <si>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</si>
  <si>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</si>
  <si>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</si>
  <si>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</si>
  <si>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</si>
  <si>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</si>
  <si>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</si>
  <si>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</si>
  <si>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</si>
  <si>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</si>
  <si>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</si>
  <si>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</si>
  <si>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</si>
  <si>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</si>
  <si>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</si>
  <si>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</si>
  <si>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</si>
  <si>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</si>
  <si>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</si>
  <si>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</si>
  <si>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</si>
  <si>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</si>
  <si>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</si>
  <si>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</si>
  <si>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</si>
  <si>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</si>
  <si>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</si>
  <si>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</si>
  <si>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</si>
  <si>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</si>
  <si>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</si>
  <si>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</si>
  <si>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</si>
  <si>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</si>
  <si>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</si>
  <si>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</si>
  <si>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</si>
  <si>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</si>
  <si>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</si>
  <si>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</si>
  <si>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</si>
  <si>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</si>
  <si>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</si>
  <si>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</si>
  <si>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</si>
  <si>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</si>
  <si>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</si>
  <si>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</si>
  <si>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</si>
  <si>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</si>
  <si>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</si>
  <si>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</si>
  <si>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</si>
  <si>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</si>
  <si>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</si>
  <si>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</si>
  <si>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</si>
  <si>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</si>
  <si>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</si>
  <si>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</si>
  <si>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</si>
  <si>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</si>
  <si>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</si>
  <si>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</si>
  <si>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</si>
  <si>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</si>
  <si>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</si>
  <si>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</si>
  <si>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</si>
  <si>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</si>
  <si>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</si>
  <si>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</si>
  <si>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</si>
  <si>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</si>
  <si>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</si>
  <si>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</si>
  <si>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</si>
  <si>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</si>
  <si>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</si>
  <si>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</si>
  <si>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</si>
  <si>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</si>
  <si>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</si>
  <si>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</si>
  <si>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</si>
  <si>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</si>
  <si>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</si>
  <si>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</si>
  <si>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</si>
  <si>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</si>
  <si>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</si>
  <si>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</si>
  <si>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</si>
  <si>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</si>
  <si>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</si>
  <si>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</si>
  <si>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</si>
  <si>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</si>
  <si>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</si>
  <si>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</si>
  <si>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</si>
  <si>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</si>
  <si>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</si>
  <si>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</si>
  <si>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</si>
  <si>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</si>
  <si>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</si>
  <si>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</si>
  <si>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</si>
  <si>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</si>
  <si>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</si>
  <si>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</si>
  <si>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</si>
  <si>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</si>
  <si>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</si>
  <si>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</si>
  <si>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</si>
  <si>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</si>
  <si>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</si>
  <si>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</si>
  <si>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</si>
  <si>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</si>
  <si>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</si>
  <si>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</si>
  <si>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</si>
  <si>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</si>
  <si>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</si>
  <si>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</si>
  <si>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</si>
  <si>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</si>
  <si>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</si>
  <si>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</si>
  <si>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</si>
  <si>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</si>
  <si>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</si>
  <si>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</si>
  <si>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</si>
  <si>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</si>
  <si>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</si>
  <si>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</si>
  <si>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</si>
  <si>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</si>
  <si>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</si>
  <si>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</si>
  <si>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</si>
  <si>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</si>
  <si>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</si>
  <si>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</si>
  <si>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</si>
  <si>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</si>
  <si>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</si>
  <si>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</si>
  <si>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</si>
  <si>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</si>
  <si>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</si>
  <si>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</si>
  <si>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</si>
  <si>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</si>
  <si>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</si>
  <si>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</si>
  <si>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</si>
  <si>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</si>
  <si>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</si>
  <si>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</si>
  <si>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</si>
  <si>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</si>
  <si>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</si>
  <si>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</si>
  <si>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</si>
  <si>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</si>
  <si>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</si>
  <si>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</si>
  <si>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</si>
  <si>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</si>
  <si>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</si>
  <si>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</si>
  <si>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</si>
  <si>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</si>
  <si>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</si>
  <si>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</si>
  <si>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</si>
  <si>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</si>
  <si>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</si>
  <si>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</si>
  <si>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</si>
  <si>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</si>
  <si>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</si>
  <si>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</si>
  <si>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</si>
  <si>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</si>
  <si>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</si>
  <si>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</si>
  <si>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</si>
  <si>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</si>
  <si>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</si>
  <si>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</si>
  <si>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</si>
  <si>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</si>
  <si>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</si>
  <si>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</si>
  <si>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</si>
  <si>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</si>
  <si>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</si>
  <si>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</si>
  <si>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</si>
  <si>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</si>
  <si>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</si>
  <si>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</si>
  <si>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</si>
  <si>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</si>
  <si>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</si>
  <si>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</si>
  <si>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</si>
  <si>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</si>
  <si>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</si>
  <si>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</si>
  <si>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</si>
  <si>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</si>
  <si>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</si>
  <si>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</si>
  <si>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</si>
  <si>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</si>
  <si>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</si>
  <si>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</si>
  <si>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</si>
  <si>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</si>
  <si>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</si>
  <si>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</si>
  <si>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</si>
  <si>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</si>
  <si>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</si>
  <si>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</si>
  <si>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</si>
  <si>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</si>
  <si>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</si>
  <si>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</si>
  <si>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</si>
  <si>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</si>
  <si>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</si>
  <si>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</si>
  <si>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</si>
  <si>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</si>
  <si>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</si>
  <si>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</si>
  <si>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</si>
  <si>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</si>
  <si>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</si>
  <si>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</si>
  <si>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</si>
  <si>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</si>
  <si>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</si>
  <si>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</si>
  <si>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</si>
  <si>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</si>
  <si>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</si>
  <si>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</si>
  <si>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</si>
  <si>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</si>
  <si>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</si>
  <si>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</si>
  <si>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</si>
  <si>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</si>
  <si>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</si>
  <si>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</si>
  <si>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</si>
  <si>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</si>
  <si>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</si>
  <si>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</si>
  <si>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</si>
  <si>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</si>
  <si>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</si>
  <si>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</si>
  <si>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</si>
  <si>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</si>
  <si>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</si>
  <si>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</si>
  <si>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</si>
  <si>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</si>
  <si>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</si>
  <si>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</si>
  <si>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</si>
  <si>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</si>
  <si>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</si>
  <si>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</si>
  <si>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</si>
  <si>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</si>
  <si>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</si>
  <si>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</si>
  <si>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</si>
  <si>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</si>
  <si>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</si>
  <si>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</si>
  <si>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</si>
  <si>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</si>
  <si>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</si>
  <si>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</si>
  <si>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</si>
  <si>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</si>
  <si>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</si>
  <si>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</si>
  <si>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</si>
  <si>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</si>
  <si>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</si>
  <si>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</si>
  <si>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</si>
  <si>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</si>
  <si>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</si>
  <si>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</si>
  <si>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</si>
  <si>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</si>
  <si>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</si>
  <si>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</si>
  <si>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</si>
  <si>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</si>
  <si>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</si>
  <si>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</si>
  <si>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</si>
  <si>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</si>
  <si>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</si>
  <si>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</si>
  <si>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</si>
  <si>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</si>
  <si>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</si>
  <si>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</si>
  <si>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</si>
  <si>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</si>
  <si>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</si>
  <si>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</si>
  <si>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</si>
  <si>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</si>
  <si>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</si>
  <si>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</si>
  <si>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</si>
  <si>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</si>
  <si>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</si>
  <si>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</si>
  <si>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</si>
  <si>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</si>
  <si>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</si>
  <si>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</si>
  <si>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</si>
  <si>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</si>
  <si>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</si>
  <si>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</si>
  <si>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</si>
  <si>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</si>
  <si>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</si>
  <si>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</si>
  <si>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</si>
  <si>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</si>
  <si>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</si>
  <si>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</si>
  <si>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</si>
  <si>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</si>
  <si>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</si>
  <si>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</si>
  <si>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</si>
  <si>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</si>
  <si>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</si>
  <si>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</si>
  <si>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</si>
  <si>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</si>
  <si>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</si>
  <si>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</si>
  <si>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</si>
  <si>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</si>
  <si>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</si>
  <si>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</si>
  <si>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</si>
  <si>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</si>
  <si>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</si>
  <si>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</si>
  <si>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</si>
  <si>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</si>
  <si>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</si>
  <si>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</si>
  <si>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</si>
  <si>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</si>
  <si>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</si>
  <si>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</si>
  <si>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</si>
  <si>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</si>
  <si>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</si>
  <si>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</si>
  <si>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</si>
  <si>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</si>
  <si>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</si>
  <si>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</si>
  <si>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</si>
  <si>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</si>
  <si>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</si>
  <si>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</si>
  <si>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</si>
  <si>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</si>
  <si>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</si>
  <si>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</si>
  <si>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</si>
  <si>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</si>
  <si>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</si>
  <si>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</si>
  <si>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</si>
  <si>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</si>
  <si>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</si>
  <si>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</si>
  <si>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</si>
  <si>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</si>
  <si>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</si>
  <si>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</si>
  <si>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</si>
  <si>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</si>
  <si>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</si>
  <si>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</si>
  <si>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</si>
  <si>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</si>
  <si>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</si>
  <si>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</si>
  <si>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</si>
  <si>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</si>
  <si>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</si>
  <si>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</si>
  <si>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</si>
  <si>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</si>
  <si>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</si>
  <si>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</si>
  <si>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</si>
  <si>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</si>
  <si>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</si>
  <si>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</si>
  <si>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</si>
  <si>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</si>
  <si>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</si>
  <si>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</si>
  <si>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</si>
  <si>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</si>
  <si>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</si>
  <si>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</si>
  <si>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</si>
  <si>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</si>
  <si>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</si>
  <si>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</si>
  <si>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</si>
  <si>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</si>
  <si>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</si>
  <si>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</si>
  <si>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</si>
  <si>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</si>
  <si>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</si>
  <si>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</si>
  <si>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</si>
  <si>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</si>
  <si>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</si>
  <si>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</si>
  <si>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</si>
  <si>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</si>
  <si>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</si>
  <si>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</si>
  <si>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</si>
  <si>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</si>
  <si>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</si>
  <si>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</si>
  <si>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</si>
  <si>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</si>
  <si>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</si>
  <si>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</si>
  <si>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</si>
  <si>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</si>
  <si>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</si>
  <si>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</si>
  <si>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</si>
  <si>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</si>
  <si>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</si>
  <si>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</si>
  <si>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</si>
  <si>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</si>
  <si>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</si>
  <si>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</si>
  <si>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</si>
  <si>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</si>
  <si>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</si>
  <si>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</si>
  <si>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</si>
  <si>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</si>
  <si>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</si>
  <si>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</si>
  <si>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</si>
  <si>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</si>
  <si>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</si>
  <si>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</si>
  <si>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</si>
  <si>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</si>
  <si>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</si>
  <si>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</si>
  <si>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</si>
  <si>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</si>
  <si>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</si>
  <si>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</si>
  <si>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</si>
  <si>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</si>
  <si>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</si>
  <si>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</si>
  <si>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</si>
  <si>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</si>
  <si>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</si>
  <si>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</si>
  <si>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</si>
  <si>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</si>
  <si>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</si>
  <si>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</si>
  <si>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</si>
  <si>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</si>
  <si>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</si>
  <si>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</si>
  <si>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</si>
  <si>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</si>
  <si>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</si>
  <si>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</si>
  <si>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</si>
  <si>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</si>
  <si>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</si>
  <si>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</si>
  <si>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</si>
  <si>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</si>
  <si>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</si>
  <si>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</si>
  <si>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</si>
  <si>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</si>
  <si>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</si>
  <si>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</si>
  <si>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</si>
  <si>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</si>
  <si>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</si>
  <si>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</si>
  <si>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</si>
  <si>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</si>
  <si>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</si>
  <si>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</si>
  <si>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</si>
  <si>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</si>
  <si>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</si>
  <si>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</si>
  <si>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</si>
  <si>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</si>
  <si>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</si>
  <si>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</si>
  <si>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</si>
  <si>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</si>
  <si>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</si>
  <si>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</si>
  <si>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</si>
  <si>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</si>
  <si>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</si>
  <si>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</si>
  <si>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</si>
  <si>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</si>
  <si>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</si>
  <si>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</si>
  <si>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</si>
  <si>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</si>
  <si>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</si>
  <si>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</si>
  <si>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</si>
  <si>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</si>
  <si>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</si>
  <si>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</si>
  <si>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</si>
  <si>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</si>
  <si>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</si>
  <si>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</si>
  <si>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</si>
  <si>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</si>
  <si>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</si>
  <si>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</si>
  <si>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</si>
  <si>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</si>
  <si>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</si>
  <si>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</si>
  <si>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</si>
  <si>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</si>
  <si>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</si>
  <si>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</si>
  <si>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</si>
  <si>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</si>
  <si>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</si>
  <si>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</si>
  <si>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</si>
  <si>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</si>
  <si>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</si>
  <si>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</si>
  <si>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</si>
  <si>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</si>
  <si>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</si>
  <si>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</si>
  <si>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</si>
  <si>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</si>
  <si>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</si>
  <si>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</si>
  <si>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</si>
  <si>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</si>
  <si>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</si>
  <si>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</si>
  <si>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</si>
  <si>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</si>
  <si>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</si>
  <si>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</si>
  <si>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</si>
  <si>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</si>
  <si>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</si>
  <si>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</si>
  <si>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</si>
  <si>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</si>
  <si>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</si>
  <si>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</si>
  <si>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</si>
  <si>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</si>
  <si>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</si>
  <si>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</si>
  <si>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</si>
  <si>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</si>
  <si>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</si>
  <si>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</si>
  <si>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</si>
  <si>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</si>
  <si>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</si>
  <si>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</si>
  <si>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</si>
  <si>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</si>
  <si>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</si>
  <si>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</si>
  <si>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</si>
  <si>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</si>
  <si>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</si>
  <si>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</si>
  <si>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</si>
  <si>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</si>
  <si>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</si>
  <si>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</si>
  <si>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</si>
  <si>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</si>
  <si>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</si>
  <si>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</si>
  <si>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</si>
  <si>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</si>
  <si>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</si>
  <si>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</si>
  <si>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</si>
  <si>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</si>
  <si>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</si>
  <si>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</si>
  <si>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</si>
  <si>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</si>
  <si>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</si>
  <si>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</si>
  <si>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</si>
  <si>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</si>
  <si>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</si>
  <si>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</si>
  <si>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</si>
  <si>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</si>
  <si>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</si>
  <si>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</si>
  <si>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</si>
  <si>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</si>
  <si>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</si>
  <si>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</si>
  <si>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</si>
  <si>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</si>
  <si>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</si>
  <si>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</si>
  <si>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</si>
  <si>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</si>
  <si>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</si>
  <si>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</si>
  <si>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</si>
  <si>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</si>
  <si>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</si>
  <si>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</si>
  <si>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</si>
  <si>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</si>
  <si>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</si>
  <si>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</si>
  <si>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</si>
  <si>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</si>
  <si>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</si>
  <si>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</si>
  <si>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</si>
  <si>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</si>
  <si>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</si>
  <si>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</si>
  <si>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</si>
  <si>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</si>
  <si>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</si>
  <si>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</si>
  <si>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</si>
  <si>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</si>
  <si>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</si>
  <si>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</si>
  <si>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</si>
  <si>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</si>
  <si>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</si>
  <si>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</si>
  <si>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</si>
  <si>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</si>
  <si>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</si>
  <si>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</si>
  <si>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</si>
  <si>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</si>
  <si>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</si>
  <si>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</si>
  <si>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</si>
  <si>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</si>
  <si>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</si>
  <si>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</si>
  <si>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</si>
  <si>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</si>
  <si>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</si>
  <si>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</si>
  <si>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</si>
  <si>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</si>
  <si>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</si>
  <si>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</si>
  <si>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</si>
  <si>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</si>
  <si>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</si>
  <si>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</si>
  <si>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</si>
  <si>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</si>
  <si>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</si>
  <si>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</si>
  <si>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</si>
  <si>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</si>
  <si>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</si>
  <si>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</si>
  <si>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</si>
  <si>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</si>
  <si>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</si>
  <si>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</si>
  <si>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</si>
  <si>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</si>
  <si>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</si>
  <si>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</si>
  <si>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</si>
  <si>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</si>
  <si>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</si>
  <si>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</si>
  <si>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</si>
  <si>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</si>
  <si>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</si>
  <si>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</si>
  <si>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</si>
  <si>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</si>
  <si>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</si>
  <si>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</si>
  <si>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</si>
  <si>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</si>
  <si>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</si>
  <si>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</si>
  <si>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</si>
  <si>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</si>
  <si>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</si>
  <si>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</si>
  <si>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</si>
  <si>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</si>
  <si>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</si>
  <si>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</si>
  <si>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</si>
  <si>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</si>
  <si>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</si>
  <si>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</si>
  <si>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</si>
  <si>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</si>
  <si>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</si>
  <si>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</si>
  <si>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</si>
  <si>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</si>
  <si>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</si>
  <si>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</si>
  <si>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</si>
  <si>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</si>
  <si>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</si>
  <si>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</si>
  <si>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</si>
  <si>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</si>
  <si>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</si>
  <si>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</si>
  <si>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</si>
  <si>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</si>
  <si>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</si>
  <si>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</si>
  <si>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</si>
  <si>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</si>
  <si>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</si>
  <si>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</si>
  <si>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</si>
  <si>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</si>
  <si>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</si>
  <si>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</si>
  <si>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</si>
  <si>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</si>
  <si>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</si>
  <si>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</si>
  <si>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</si>
  <si>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</si>
  <si>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</si>
  <si>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</si>
  <si>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</si>
  <si>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</si>
  <si>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</si>
  <si>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</si>
  <si>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</si>
  <si>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</si>
  <si>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</si>
  <si>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</si>
  <si>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</si>
  <si>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</si>
  <si>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</si>
  <si>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</si>
  <si>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</si>
  <si>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</si>
  <si>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</si>
  <si>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</si>
  <si>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</si>
  <si>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</si>
  <si>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</si>
  <si>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</si>
  <si>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</si>
  <si>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</si>
  <si>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</si>
  <si>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</si>
  <si>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</si>
  <si>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</si>
  <si>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</si>
  <si>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</si>
  <si>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</si>
  <si>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</si>
  <si>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</si>
  <si>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</si>
  <si>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</si>
  <si>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</si>
  <si>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</si>
  <si>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</si>
  <si>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</si>
  <si>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</si>
  <si>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</si>
  <si>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</si>
  <si>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</si>
  <si>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</si>
  <si>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</si>
  <si>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</si>
  <si>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</si>
  <si>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</si>
  <si>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</si>
  <si>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</si>
  <si>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</si>
  <si>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</si>
  <si>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</si>
  <si>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</si>
  <si>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</si>
  <si>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</si>
  <si>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</si>
  <si>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</si>
  <si>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</si>
  <si>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</si>
  <si>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</si>
  <si>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</si>
  <si>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</si>
  <si>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</si>
  <si>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</si>
  <si>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</si>
  <si>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</si>
  <si>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</si>
  <si>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</si>
  <si>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</si>
  <si>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</si>
  <si>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</si>
  <si>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</si>
  <si>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</si>
  <si>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</si>
  <si>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</si>
  <si>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</si>
  <si>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</si>
  <si>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</si>
  <si>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</si>
  <si>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</si>
  <si>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</si>
  <si>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</si>
  <si>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</si>
  <si>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</si>
  <si>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</si>
  <si>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</si>
  <si>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</si>
  <si>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</si>
  <si>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73040</t>
  </si>
  <si>
    <t>KORTESSEM</t>
  </si>
  <si>
    <t>Paarden&amp;pony's 200 - 600 kg</t>
  </si>
  <si>
    <t>Paarden&amp;pony's &lt; 200 kg</t>
  </si>
  <si>
    <t>vloeibaar gas (MWh)</t>
  </si>
  <si>
    <t>interne verbrandingsmotor</t>
  </si>
  <si>
    <t>WKK interne verbrandinsgmotor (gas)</t>
  </si>
  <si>
    <t>Inter-Energa</t>
  </si>
  <si>
    <t>stirlingmotor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</si>
</sst>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EB58FD8F-5DFE-4AB5-BD19-C66BEFF35DE4}"/>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73040</v>
      </c>
      <c r="B6" s="384"/>
      <c r="C6" s="385"/>
    </row>
    <row r="7" spans="1:7" s="382" customFormat="1" ht="15.75" customHeight="1">
      <c r="A7" s="386" t="str">
        <f>txtMunicipality</f>
        <v>KORTESSEM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0.10276286906665982</v>
      </c>
      <c r="C17" s="496">
        <f ca="1">'EF ele_warmte'!B22</f>
        <v>2.0398786171238725E-5</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0.10276286906665982</v>
      </c>
      <c r="C29" s="497">
        <f ca="1">'EF ele_warmte'!B22</f>
        <v>2.0398786171238725E-5</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3321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1974</v>
      </c>
      <c r="C14" s="327"/>
      <c r="D14" s="327"/>
      <c r="E14" s="327"/>
      <c r="F14" s="327"/>
    </row>
    <row r="15" spans="1:6">
      <c r="A15" s="1258" t="s">
        <v>177</v>
      </c>
      <c r="B15" s="1259">
        <v>522</v>
      </c>
      <c r="C15" s="327"/>
      <c r="D15" s="327"/>
      <c r="E15" s="327"/>
      <c r="F15" s="327"/>
    </row>
    <row r="16" spans="1:6">
      <c r="A16" s="1258" t="s">
        <v>6</v>
      </c>
      <c r="B16" s="1259">
        <v>601</v>
      </c>
      <c r="C16" s="327"/>
      <c r="D16" s="327"/>
      <c r="E16" s="327"/>
      <c r="F16" s="327"/>
    </row>
    <row r="17" spans="1:6">
      <c r="A17" s="1258" t="s">
        <v>7</v>
      </c>
      <c r="B17" s="1259">
        <v>313</v>
      </c>
      <c r="C17" s="327"/>
      <c r="D17" s="327"/>
      <c r="E17" s="327"/>
      <c r="F17" s="327"/>
    </row>
    <row r="18" spans="1:6">
      <c r="A18" s="1258" t="s">
        <v>8</v>
      </c>
      <c r="B18" s="1259">
        <v>597</v>
      </c>
      <c r="C18" s="327"/>
      <c r="D18" s="327"/>
      <c r="E18" s="327"/>
      <c r="F18" s="327"/>
    </row>
    <row r="19" spans="1:6">
      <c r="A19" s="1258" t="s">
        <v>9</v>
      </c>
      <c r="B19" s="1259">
        <v>626</v>
      </c>
      <c r="C19" s="327"/>
      <c r="D19" s="327"/>
      <c r="E19" s="327"/>
      <c r="F19" s="327"/>
    </row>
    <row r="20" spans="1:6">
      <c r="A20" s="1258" t="s">
        <v>10</v>
      </c>
      <c r="B20" s="1259">
        <v>333</v>
      </c>
      <c r="C20" s="327"/>
      <c r="D20" s="327"/>
      <c r="E20" s="327"/>
      <c r="F20" s="327"/>
    </row>
    <row r="21" spans="1:6">
      <c r="A21" s="1258" t="s">
        <v>11</v>
      </c>
      <c r="B21" s="1259">
        <v>733</v>
      </c>
      <c r="C21" s="327"/>
      <c r="D21" s="327"/>
      <c r="E21" s="327"/>
      <c r="F21" s="327"/>
    </row>
    <row r="22" spans="1:6">
      <c r="A22" s="1258" t="s">
        <v>12</v>
      </c>
      <c r="B22" s="1259">
        <v>2650</v>
      </c>
      <c r="C22" s="327"/>
      <c r="D22" s="327"/>
      <c r="E22" s="327"/>
      <c r="F22" s="327"/>
    </row>
    <row r="23" spans="1:6">
      <c r="A23" s="1258" t="s">
        <v>13</v>
      </c>
      <c r="B23" s="1259">
        <v>32</v>
      </c>
      <c r="C23" s="327"/>
      <c r="D23" s="327"/>
      <c r="E23" s="327"/>
      <c r="F23" s="327"/>
    </row>
    <row r="24" spans="1:6">
      <c r="A24" s="1258" t="s">
        <v>14</v>
      </c>
      <c r="B24" s="1259">
        <v>2</v>
      </c>
      <c r="C24" s="327"/>
      <c r="D24" s="327"/>
      <c r="E24" s="327"/>
      <c r="F24" s="327"/>
    </row>
    <row r="25" spans="1:6">
      <c r="A25" s="1258" t="s">
        <v>15</v>
      </c>
      <c r="B25" s="1259">
        <v>248</v>
      </c>
      <c r="C25" s="327"/>
      <c r="D25" s="327"/>
      <c r="E25" s="327"/>
      <c r="F25" s="327"/>
    </row>
    <row r="26" spans="1:6">
      <c r="A26" s="1258" t="s">
        <v>16</v>
      </c>
      <c r="B26" s="1259">
        <v>76</v>
      </c>
      <c r="C26" s="327"/>
      <c r="D26" s="327"/>
      <c r="E26" s="327"/>
      <c r="F26" s="327"/>
    </row>
    <row r="27" spans="1:6">
      <c r="A27" s="1258" t="s">
        <v>17</v>
      </c>
      <c r="B27" s="1259">
        <v>0</v>
      </c>
      <c r="C27" s="327"/>
      <c r="D27" s="327"/>
      <c r="E27" s="327"/>
      <c r="F27" s="327"/>
    </row>
    <row r="28" spans="1:6">
      <c r="A28" s="1258" t="s">
        <v>18</v>
      </c>
      <c r="B28" s="1260">
        <v>49986</v>
      </c>
      <c r="C28" s="327"/>
      <c r="D28" s="327"/>
      <c r="E28" s="327"/>
      <c r="F28" s="327"/>
    </row>
    <row r="29" spans="1:6">
      <c r="A29" s="1258" t="s">
        <v>939</v>
      </c>
      <c r="B29" s="1260">
        <v>134</v>
      </c>
      <c r="C29" s="327"/>
      <c r="D29" s="327"/>
      <c r="E29" s="327"/>
      <c r="F29" s="327"/>
    </row>
    <row r="30" spans="1:6">
      <c r="A30" s="1253" t="s">
        <v>940</v>
      </c>
      <c r="B30" s="1261">
        <v>34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17223</v>
      </c>
    </row>
    <row r="39" spans="1:6">
      <c r="A39" s="1258" t="s">
        <v>29</v>
      </c>
      <c r="B39" s="1258" t="s">
        <v>30</v>
      </c>
      <c r="C39" s="1259">
        <v>1234</v>
      </c>
      <c r="D39" s="1259">
        <v>21019295</v>
      </c>
      <c r="E39" s="1259">
        <v>3297</v>
      </c>
      <c r="F39" s="1259">
        <v>13328603</v>
      </c>
    </row>
    <row r="40" spans="1:6">
      <c r="A40" s="1258" t="s">
        <v>29</v>
      </c>
      <c r="B40" s="1258" t="s">
        <v>28</v>
      </c>
      <c r="C40" s="1259">
        <v>0</v>
      </c>
      <c r="D40" s="1259">
        <v>0</v>
      </c>
      <c r="E40" s="1259">
        <v>0</v>
      </c>
      <c r="F40" s="1259">
        <v>0</v>
      </c>
    </row>
    <row r="41" spans="1:6">
      <c r="A41" s="1258" t="s">
        <v>31</v>
      </c>
      <c r="B41" s="1258" t="s">
        <v>32</v>
      </c>
      <c r="C41" s="1259">
        <v>11</v>
      </c>
      <c r="D41" s="1259">
        <v>280273</v>
      </c>
      <c r="E41" s="1259">
        <v>59</v>
      </c>
      <c r="F41" s="1259">
        <v>505661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9</v>
      </c>
      <c r="F44" s="1259">
        <v>267540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4</v>
      </c>
      <c r="D48" s="1259">
        <v>553790</v>
      </c>
      <c r="E48" s="1259">
        <v>3</v>
      </c>
      <c r="F48" s="1259">
        <v>227809</v>
      </c>
    </row>
    <row r="49" spans="1:6">
      <c r="A49" s="1258" t="s">
        <v>31</v>
      </c>
      <c r="B49" s="1258" t="s">
        <v>39</v>
      </c>
      <c r="C49" s="1259">
        <v>0</v>
      </c>
      <c r="D49" s="1259">
        <v>0</v>
      </c>
      <c r="E49" s="1259">
        <v>0</v>
      </c>
      <c r="F49" s="1259">
        <v>0</v>
      </c>
    </row>
    <row r="50" spans="1:6">
      <c r="A50" s="1258" t="s">
        <v>31</v>
      </c>
      <c r="B50" s="1258" t="s">
        <v>40</v>
      </c>
      <c r="C50" s="1259">
        <v>0</v>
      </c>
      <c r="D50" s="1259">
        <v>0</v>
      </c>
      <c r="E50" s="1259">
        <v>9</v>
      </c>
      <c r="F50" s="1259">
        <v>146748</v>
      </c>
    </row>
    <row r="51" spans="1:6">
      <c r="A51" s="1258" t="s">
        <v>41</v>
      </c>
      <c r="B51" s="1258" t="s">
        <v>42</v>
      </c>
      <c r="C51" s="1259">
        <v>6</v>
      </c>
      <c r="D51" s="1259">
        <v>136278</v>
      </c>
      <c r="E51" s="1259">
        <v>64</v>
      </c>
      <c r="F51" s="1259">
        <v>1816902</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52</v>
      </c>
      <c r="F54" s="1259">
        <v>455396</v>
      </c>
    </row>
    <row r="55" spans="1:6">
      <c r="A55" s="1258" t="s">
        <v>45</v>
      </c>
      <c r="B55" s="1258" t="s">
        <v>28</v>
      </c>
      <c r="C55" s="1259">
        <v>0</v>
      </c>
      <c r="D55" s="1259">
        <v>0</v>
      </c>
      <c r="E55" s="1259">
        <v>0</v>
      </c>
      <c r="F55" s="1259">
        <v>0</v>
      </c>
    </row>
    <row r="56" spans="1:6">
      <c r="A56" s="1258" t="s">
        <v>47</v>
      </c>
      <c r="B56" s="1258" t="s">
        <v>28</v>
      </c>
      <c r="C56" s="1259">
        <v>29</v>
      </c>
      <c r="D56" s="1259">
        <v>1352118</v>
      </c>
      <c r="E56" s="1259">
        <v>51</v>
      </c>
      <c r="F56" s="1259">
        <v>294895</v>
      </c>
    </row>
    <row r="57" spans="1:6">
      <c r="A57" s="1258" t="s">
        <v>48</v>
      </c>
      <c r="B57" s="1258" t="s">
        <v>49</v>
      </c>
      <c r="C57" s="1259">
        <v>13</v>
      </c>
      <c r="D57" s="1259">
        <v>407394</v>
      </c>
      <c r="E57" s="1259">
        <v>39</v>
      </c>
      <c r="F57" s="1259">
        <v>1527048</v>
      </c>
    </row>
    <row r="58" spans="1:6">
      <c r="A58" s="1258" t="s">
        <v>48</v>
      </c>
      <c r="B58" s="1258" t="s">
        <v>50</v>
      </c>
      <c r="C58" s="1259">
        <v>12</v>
      </c>
      <c r="D58" s="1259">
        <v>686873</v>
      </c>
      <c r="E58" s="1259">
        <v>17</v>
      </c>
      <c r="F58" s="1259">
        <v>382720</v>
      </c>
    </row>
    <row r="59" spans="1:6">
      <c r="A59" s="1258" t="s">
        <v>48</v>
      </c>
      <c r="B59" s="1258" t="s">
        <v>51</v>
      </c>
      <c r="C59" s="1259">
        <v>21</v>
      </c>
      <c r="D59" s="1259">
        <v>633724</v>
      </c>
      <c r="E59" s="1259">
        <v>72</v>
      </c>
      <c r="F59" s="1259">
        <v>2403707</v>
      </c>
    </row>
    <row r="60" spans="1:6">
      <c r="A60" s="1258" t="s">
        <v>48</v>
      </c>
      <c r="B60" s="1258" t="s">
        <v>52</v>
      </c>
      <c r="C60" s="1259">
        <v>9</v>
      </c>
      <c r="D60" s="1259">
        <v>409894</v>
      </c>
      <c r="E60" s="1259">
        <v>21</v>
      </c>
      <c r="F60" s="1259">
        <v>352607</v>
      </c>
    </row>
    <row r="61" spans="1:6">
      <c r="A61" s="1258" t="s">
        <v>48</v>
      </c>
      <c r="B61" s="1258" t="s">
        <v>53</v>
      </c>
      <c r="C61" s="1259">
        <v>40</v>
      </c>
      <c r="D61" s="1259">
        <v>2403118</v>
      </c>
      <c r="E61" s="1259">
        <v>138</v>
      </c>
      <c r="F61" s="1259">
        <v>1932361</v>
      </c>
    </row>
    <row r="62" spans="1:6">
      <c r="A62" s="1258" t="s">
        <v>48</v>
      </c>
      <c r="B62" s="1258" t="s">
        <v>54</v>
      </c>
      <c r="C62" s="1259">
        <v>0</v>
      </c>
      <c r="D62" s="1259">
        <v>0</v>
      </c>
      <c r="E62" s="1259">
        <v>3</v>
      </c>
      <c r="F62" s="1259">
        <v>279582</v>
      </c>
    </row>
    <row r="63" spans="1:6">
      <c r="A63" s="1258" t="s">
        <v>48</v>
      </c>
      <c r="B63" s="1258" t="s">
        <v>28</v>
      </c>
      <c r="C63" s="1259">
        <v>2</v>
      </c>
      <c r="D63" s="1259">
        <v>209162</v>
      </c>
      <c r="E63" s="1259">
        <v>0</v>
      </c>
      <c r="F63" s="1259">
        <v>0</v>
      </c>
    </row>
    <row r="64" spans="1:6">
      <c r="A64" s="1258" t="s">
        <v>55</v>
      </c>
      <c r="B64" s="1258" t="s">
        <v>56</v>
      </c>
      <c r="C64" s="1259">
        <v>0</v>
      </c>
      <c r="D64" s="1259">
        <v>0</v>
      </c>
      <c r="E64" s="1259">
        <v>0</v>
      </c>
      <c r="F64" s="1259">
        <v>0</v>
      </c>
    </row>
    <row r="65" spans="1:6">
      <c r="A65" s="1258" t="s">
        <v>55</v>
      </c>
      <c r="B65" s="1258" t="s">
        <v>28</v>
      </c>
      <c r="C65" s="1259">
        <v>2</v>
      </c>
      <c r="D65" s="1259">
        <v>42010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36436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57244838</v>
      </c>
      <c r="E73" s="445"/>
      <c r="F73" s="327"/>
    </row>
    <row r="74" spans="1:6">
      <c r="A74" s="1258" t="s">
        <v>63</v>
      </c>
      <c r="B74" s="1258" t="s">
        <v>724</v>
      </c>
      <c r="C74" s="1271" t="s">
        <v>718</v>
      </c>
      <c r="D74" s="1259">
        <v>5113887.0362664592</v>
      </c>
      <c r="E74" s="445"/>
      <c r="F74" s="327"/>
    </row>
    <row r="75" spans="1:6">
      <c r="A75" s="1258" t="s">
        <v>64</v>
      </c>
      <c r="B75" s="1258" t="s">
        <v>723</v>
      </c>
      <c r="C75" s="1271" t="s">
        <v>719</v>
      </c>
      <c r="D75" s="1259">
        <v>15940250</v>
      </c>
      <c r="E75" s="445"/>
      <c r="F75" s="327"/>
    </row>
    <row r="76" spans="1:6">
      <c r="A76" s="1258" t="s">
        <v>64</v>
      </c>
      <c r="B76" s="1258" t="s">
        <v>724</v>
      </c>
      <c r="C76" s="1271" t="s">
        <v>720</v>
      </c>
      <c r="D76" s="1259">
        <v>11910.300000000001</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264815.92746708205</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2174.2532588150766</v>
      </c>
      <c r="C91" s="327"/>
      <c r="D91" s="327"/>
      <c r="E91" s="327"/>
      <c r="F91" s="327"/>
    </row>
    <row r="92" spans="1:6">
      <c r="A92" s="1253" t="s">
        <v>68</v>
      </c>
      <c r="B92" s="1254">
        <v>672.54388347983456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236</v>
      </c>
      <c r="C97" s="327"/>
      <c r="D97" s="327"/>
      <c r="E97" s="327"/>
      <c r="F97" s="327"/>
    </row>
    <row r="98" spans="1:6">
      <c r="A98" s="1258" t="s">
        <v>71</v>
      </c>
      <c r="B98" s="1259">
        <v>1</v>
      </c>
      <c r="C98" s="327"/>
      <c r="D98" s="327"/>
      <c r="E98" s="327"/>
      <c r="F98" s="327"/>
    </row>
    <row r="99" spans="1:6">
      <c r="A99" s="1258" t="s">
        <v>72</v>
      </c>
      <c r="B99" s="1259">
        <v>52</v>
      </c>
      <c r="C99" s="327"/>
      <c r="D99" s="327"/>
      <c r="E99" s="327"/>
      <c r="F99" s="327"/>
    </row>
    <row r="100" spans="1:6">
      <c r="A100" s="1258" t="s">
        <v>73</v>
      </c>
      <c r="B100" s="1259">
        <v>78</v>
      </c>
      <c r="C100" s="327"/>
      <c r="D100" s="327"/>
      <c r="E100" s="327"/>
      <c r="F100" s="327"/>
    </row>
    <row r="101" spans="1:6">
      <c r="A101" s="1258" t="s">
        <v>74</v>
      </c>
      <c r="B101" s="1259">
        <v>39</v>
      </c>
      <c r="C101" s="327"/>
      <c r="D101" s="327"/>
      <c r="E101" s="327"/>
      <c r="F101" s="327"/>
    </row>
    <row r="102" spans="1:6">
      <c r="A102" s="1258" t="s">
        <v>75</v>
      </c>
      <c r="B102" s="1259">
        <v>30</v>
      </c>
      <c r="C102" s="327"/>
      <c r="D102" s="327"/>
      <c r="E102" s="327"/>
      <c r="F102" s="327"/>
    </row>
    <row r="103" spans="1:6">
      <c r="A103" s="1258" t="s">
        <v>76</v>
      </c>
      <c r="B103" s="1259">
        <v>98</v>
      </c>
      <c r="C103" s="327"/>
      <c r="D103" s="327"/>
      <c r="E103" s="327"/>
      <c r="F103" s="327"/>
    </row>
    <row r="104" spans="1:6">
      <c r="A104" s="1258" t="s">
        <v>77</v>
      </c>
      <c r="B104" s="1259">
        <v>2326</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v>
      </c>
      <c r="C123" s="1259">
        <v>10</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19</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26103.604007698366</v>
      </c>
      <c r="C3" s="44" t="s">
        <v>163</v>
      </c>
      <c r="D3" s="44"/>
      <c r="E3" s="157"/>
      <c r="F3" s="44"/>
      <c r="G3" s="44"/>
      <c r="H3" s="44"/>
      <c r="I3" s="44"/>
      <c r="J3" s="44"/>
      <c r="K3" s="97"/>
    </row>
    <row r="4" spans="1:11">
      <c r="A4" s="352" t="s">
        <v>164</v>
      </c>
      <c r="B4" s="50">
        <f>IF(ISERROR('SEAP template'!B78+'SEAP template'!C78),0,'SEAP template'!B78+'SEAP template'!C78)</f>
        <v>13966.706233204002</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0.22683264778906814</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0.10276286906665982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0.32407644312002287</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15887.045454545454</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2.0398786171238725E-5</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455.39600000000002</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455.39600000000002</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0.10276286906665982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46.79779952148062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13328.602999999999</v>
      </c>
      <c r="C5" s="18">
        <f>IF(ISERROR('Eigen informatie GS &amp; warmtenet'!B57),0,'Eigen informatie GS &amp; warmtenet'!B57)</f>
        <v>0</v>
      </c>
      <c r="D5" s="31">
        <f>(SUM(HH_hh_gas_kWh,HH_rest_gas_kWh)/1000)*0.902</f>
        <v>18959.40409</v>
      </c>
      <c r="E5" s="18">
        <f>B32*B41</f>
        <v>1108.742574250417</v>
      </c>
      <c r="F5" s="18">
        <f>B36*B45</f>
        <v>33802.342081167764</v>
      </c>
      <c r="G5" s="19"/>
      <c r="H5" s="18"/>
      <c r="I5" s="18"/>
      <c r="J5" s="18">
        <f>B35*B44+C35*C44</f>
        <v>613.33171877751283</v>
      </c>
      <c r="K5" s="18"/>
      <c r="L5" s="18"/>
      <c r="M5" s="18"/>
      <c r="N5" s="18">
        <f>B34*B43+C34*C43</f>
        <v>5108.0956602938759</v>
      </c>
      <c r="O5" s="18">
        <f>B52*B53*B54</f>
        <v>46.9</v>
      </c>
      <c r="P5" s="18">
        <f>B60*B61*B62/1000-B60*B61*B62/1000/B63</f>
        <v>324.13333333333333</v>
      </c>
    </row>
    <row r="6" spans="1:16">
      <c r="A6" s="17" t="s">
        <v>597</v>
      </c>
      <c r="B6" s="731">
        <f>kWh_PV_kleiner_dan_10kW</f>
        <v>2174.2532588150766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15502.856258815076</v>
      </c>
      <c r="C8" s="22">
        <f>C5</f>
        <v>0</v>
      </c>
      <c r="D8" s="22">
        <f>D5</f>
        <v>18959.40409</v>
      </c>
      <c r="E8" s="22">
        <f>E5</f>
        <v>1108.742574250417</v>
      </c>
      <c r="F8" s="22">
        <f>F5</f>
        <v>33802.342081167764</v>
      </c>
      <c r="G8" s="22"/>
      <c r="H8" s="22"/>
      <c r="I8" s="22"/>
      <c r="J8" s="22">
        <f>J5</f>
        <v>613.33171877751283</v>
      </c>
      <c r="K8" s="22"/>
      <c r="L8" s="22">
        <f>L5</f>
        <v>0</v>
      </c>
      <c r="M8" s="22">
        <f>M5</f>
        <v>0</v>
      </c>
      <c r="N8" s="22">
        <f>N5</f>
        <v>5108.0956602938759</v>
      </c>
      <c r="O8" s="22">
        <f>O5</f>
        <v>46.9</v>
      </c>
      <c r="P8" s="22">
        <f>P5</f>
        <v>324.13333333333333</v>
      </c>
    </row>
    <row r="9" spans="1:16">
      <c r="B9" s="20"/>
      <c r="C9" s="20"/>
      <c r="D9" s="258"/>
      <c r="E9" s="20"/>
      <c r="F9" s="20"/>
      <c r="G9" s="20"/>
      <c r="H9" s="20"/>
      <c r="I9" s="20"/>
      <c r="J9" s="20"/>
      <c r="K9" s="20"/>
      <c r="L9" s="20"/>
      <c r="M9" s="20"/>
      <c r="N9" s="20"/>
      <c r="O9" s="20"/>
      <c r="P9" s="20"/>
    </row>
    <row r="10" spans="1:16">
      <c r="A10" s="25" t="s">
        <v>207</v>
      </c>
      <c r="B10" s="26">
        <f ca="1">'EF ele_warmte'!B12</f>
        <v>0.10276286906665982</v>
      </c>
      <c r="C10" s="26">
        <f ca="1">'EF ele_warmte'!B22</f>
        <v>2.0398786171238725E-5</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1593.1179878838614</v>
      </c>
      <c r="C12" s="24">
        <f ca="1">C10*C8</f>
        <v>0</v>
      </c>
      <c r="D12" s="24">
        <f>D8*D10</f>
        <v>3829.7996261800004</v>
      </c>
      <c r="E12" s="24">
        <f>E10*E8</f>
        <v>251.68456435484467</v>
      </c>
      <c r="F12" s="24">
        <f>F10*F8</f>
        <v>9025.2253356717938</v>
      </c>
      <c r="G12" s="24"/>
      <c r="H12" s="24"/>
      <c r="I12" s="24"/>
      <c r="J12" s="24">
        <f>J10*J8</f>
        <v>217.11942844723953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3321</v>
      </c>
      <c r="C26" s="37"/>
      <c r="D26" s="228"/>
    </row>
    <row r="27" spans="1:5" s="16" customFormat="1">
      <c r="A27" s="230" t="s">
        <v>623</v>
      </c>
      <c r="B27" s="38">
        <f>SUM(HH_hh_gas_aantal,HH_rest_gas_aantal)</f>
        <v>1234</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1172.3</v>
      </c>
      <c r="C31" s="35" t="s">
        <v>104</v>
      </c>
      <c r="D31" s="174"/>
    </row>
    <row r="32" spans="1:5">
      <c r="A32" s="171" t="s">
        <v>72</v>
      </c>
      <c r="B32" s="34">
        <f>IF((B21*($B$26-($B$27-0.05*$B$27)-$B$60))&lt;0,0,B21*($B$26-($B$27-0.05*$B$27)-$B$60))</f>
        <v>52.387232172591659</v>
      </c>
      <c r="C32" s="35" t="s">
        <v>104</v>
      </c>
      <c r="D32" s="174"/>
    </row>
    <row r="33" spans="1:6">
      <c r="A33" s="171" t="s">
        <v>73</v>
      </c>
      <c r="B33" s="34">
        <f>IF((B22*($B$26-($B$27-0.05*$B$27)-$B$60))&lt;0,0,B22*($B$26-($B$27-0.05*$B$27)-$B$60))</f>
        <v>352.62751433705301</v>
      </c>
      <c r="C33" s="35" t="s">
        <v>104</v>
      </c>
      <c r="D33" s="174"/>
    </row>
    <row r="34" spans="1:6">
      <c r="A34" s="171" t="s">
        <v>74</v>
      </c>
      <c r="B34" s="34">
        <f>IF((B24*($B$26-($B$27-0.05*$B$27)-$B$60))&lt;0,0,B24*($B$26-($B$27-0.05*$B$27)-$B$60))</f>
        <v>89.433770350397708</v>
      </c>
      <c r="C34" s="34">
        <f>B26*C24</f>
        <v>679.15223018898894</v>
      </c>
      <c r="D34" s="233"/>
    </row>
    <row r="35" spans="1:6">
      <c r="A35" s="171" t="s">
        <v>76</v>
      </c>
      <c r="B35" s="34">
        <f>IF((B19*($B$26-($B$27-0.05*$B$27)-$B$60))&lt;0,0,B19*($B$26-($B$27-0.05*$B$27)-$B$60))</f>
        <v>33.248645604189093</v>
      </c>
      <c r="C35" s="34">
        <f>B35/2</f>
        <v>16.624322802094547</v>
      </c>
      <c r="D35" s="233"/>
    </row>
    <row r="36" spans="1:6">
      <c r="A36" s="171" t="s">
        <v>77</v>
      </c>
      <c r="B36" s="34">
        <f>IF((B18*($B$26-($B$27-0.05*$B$27)-$B$60))&lt;0,0,B18*($B$26-($B$27-0.05*$B$27)-$B$60))</f>
        <v>1604.0028375357679</v>
      </c>
      <c r="C36" s="35" t="s">
        <v>104</v>
      </c>
      <c r="D36" s="174"/>
    </row>
    <row r="37" spans="1:6">
      <c r="A37" s="171" t="s">
        <v>78</v>
      </c>
      <c r="B37" s="34">
        <f>B60</f>
        <v>17</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17</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6878.0250000000005</v>
      </c>
      <c r="C5" s="18">
        <f>IF(ISERROR('Eigen informatie GS &amp; warmtenet'!B58),0,'Eigen informatie GS &amp; warmtenet'!B58)</f>
        <v>0</v>
      </c>
      <c r="D5" s="31">
        <f>SUM(D6:D12)</f>
        <v>4284.6488300000001</v>
      </c>
      <c r="E5" s="18">
        <f>SUM(E6:E12)</f>
        <v>47.05371225847697</v>
      </c>
      <c r="F5" s="18">
        <f>SUM(F6:F12)</f>
        <v>1470.7875031253227</v>
      </c>
      <c r="G5" s="19"/>
      <c r="H5" s="18"/>
      <c r="I5" s="18"/>
      <c r="J5" s="18">
        <f>SUM(J6:J12)</f>
        <v>0</v>
      </c>
      <c r="K5" s="18"/>
      <c r="L5" s="18"/>
      <c r="M5" s="18"/>
      <c r="N5" s="18">
        <f>SUM(N6:N12)</f>
        <v>755.48854746636255</v>
      </c>
      <c r="O5" s="18">
        <f>B38*B39*B40</f>
        <v>0</v>
      </c>
      <c r="P5" s="18">
        <f>B46*B47*B48/1000-B46*B47*B48/1000/B49</f>
        <v>0</v>
      </c>
      <c r="R5" s="33"/>
    </row>
    <row r="6" spans="1:18">
      <c r="A6" s="33" t="s">
        <v>53</v>
      </c>
      <c r="B6" s="38">
        <f>B26</f>
        <v>1932.3610000000001</v>
      </c>
      <c r="C6" s="34"/>
      <c r="D6" s="38">
        <f>IF(ISERROR(TER_kantoor_gas_kWh/1000),0,TER_kantoor_gas_kWh/1000)*0.902</f>
        <v>2167.6124359999999</v>
      </c>
      <c r="E6" s="34">
        <f>$C$26*'E Balans VL '!I12/100/3.6*1000000</f>
        <v>3.156569801811079</v>
      </c>
      <c r="F6" s="34">
        <f>$C$26*('E Balans VL '!L12+'E Balans VL '!N12)/100/3.6*1000000</f>
        <v>227.01769216703912</v>
      </c>
      <c r="G6" s="35"/>
      <c r="H6" s="34"/>
      <c r="I6" s="34"/>
      <c r="J6" s="34">
        <f>$C$26*('E Balans VL '!D12+'E Balans VL '!E12)/100/3.6*1000000</f>
        <v>0</v>
      </c>
      <c r="K6" s="34"/>
      <c r="L6" s="34"/>
      <c r="M6" s="34"/>
      <c r="N6" s="34">
        <f>$C$26*'E Balans VL '!Y12/100/3.6*1000000</f>
        <v>14.070059587279708</v>
      </c>
      <c r="O6" s="34"/>
      <c r="P6" s="34"/>
      <c r="R6" s="33"/>
    </row>
    <row r="7" spans="1:18">
      <c r="A7" s="33" t="s">
        <v>52</v>
      </c>
      <c r="B7" s="38">
        <f t="shared" ref="B7:B12" si="0">B27</f>
        <v>352.60700000000003</v>
      </c>
      <c r="C7" s="34"/>
      <c r="D7" s="38">
        <f>IF(ISERROR(TER_horeca_gas_kWh/1000),0,TER_horeca_gas_kWh/1000)*0.902</f>
        <v>369.72438800000003</v>
      </c>
      <c r="E7" s="34">
        <f>$C$27*'E Balans VL '!I9/100/3.6*1000000</f>
        <v>18.242809468528858</v>
      </c>
      <c r="F7" s="34">
        <f>$C$27*('E Balans VL '!L9+'E Balans VL '!N9)/100/3.6*1000000</f>
        <v>80.223562001609622</v>
      </c>
      <c r="G7" s="35"/>
      <c r="H7" s="34"/>
      <c r="I7" s="34"/>
      <c r="J7" s="34">
        <f>$C$27*('E Balans VL '!D9+'E Balans VL '!E9)/100/3.6*1000000</f>
        <v>0</v>
      </c>
      <c r="K7" s="34"/>
      <c r="L7" s="34"/>
      <c r="M7" s="34"/>
      <c r="N7" s="34">
        <f>$C$27*'E Balans VL '!Y9/100/3.6*1000000</f>
        <v>3.7123354187293289E-2</v>
      </c>
      <c r="O7" s="34"/>
      <c r="P7" s="34"/>
      <c r="R7" s="33"/>
    </row>
    <row r="8" spans="1:18">
      <c r="A8" s="6" t="s">
        <v>51</v>
      </c>
      <c r="B8" s="38">
        <f t="shared" si="0"/>
        <v>2403.7069999999999</v>
      </c>
      <c r="C8" s="34"/>
      <c r="D8" s="38">
        <f>IF(ISERROR(TER_handel_gas_kWh/1000),0,TER_handel_gas_kWh/1000)*0.902</f>
        <v>571.61904800000002</v>
      </c>
      <c r="E8" s="34">
        <f>$C$28*'E Balans VL '!I13/100/3.6*1000000</f>
        <v>12.626062353132987</v>
      </c>
      <c r="F8" s="34">
        <f>$C$28*('E Balans VL '!L13+'E Balans VL '!N13)/100/3.6*1000000</f>
        <v>453.17927056668447</v>
      </c>
      <c r="G8" s="35"/>
      <c r="H8" s="34"/>
      <c r="I8" s="34"/>
      <c r="J8" s="34">
        <f>$C$28*('E Balans VL '!D13+'E Balans VL '!E13)/100/3.6*1000000</f>
        <v>0</v>
      </c>
      <c r="K8" s="34"/>
      <c r="L8" s="34"/>
      <c r="M8" s="34"/>
      <c r="N8" s="34">
        <f>$C$28*'E Balans VL '!Y13/100/3.6*1000000</f>
        <v>11.916483411866119</v>
      </c>
      <c r="O8" s="34"/>
      <c r="P8" s="34"/>
      <c r="R8" s="33"/>
    </row>
    <row r="9" spans="1:18">
      <c r="A9" s="33" t="s">
        <v>50</v>
      </c>
      <c r="B9" s="38">
        <f t="shared" si="0"/>
        <v>382.72</v>
      </c>
      <c r="C9" s="34"/>
      <c r="D9" s="38">
        <f>IF(ISERROR(TER_gezond_gas_kWh/1000),0,TER_gezond_gas_kWh/1000)*0.902</f>
        <v>619.55944600000009</v>
      </c>
      <c r="E9" s="34">
        <f>$C$29*'E Balans VL '!I10/100/3.6*1000000</f>
        <v>0.339757188979601</v>
      </c>
      <c r="F9" s="34">
        <f>$C$29*('E Balans VL '!L10+'E Balans VL '!N10)/100/3.6*1000000</f>
        <v>118.9551954568839</v>
      </c>
      <c r="G9" s="35"/>
      <c r="H9" s="34"/>
      <c r="I9" s="34"/>
      <c r="J9" s="34">
        <f>$C$29*('E Balans VL '!D10+'E Balans VL '!E10)/100/3.6*1000000</f>
        <v>0</v>
      </c>
      <c r="K9" s="34"/>
      <c r="L9" s="34"/>
      <c r="M9" s="34"/>
      <c r="N9" s="34">
        <f>$C$29*'E Balans VL '!Y10/100/3.6*1000000</f>
        <v>2.954212582489002</v>
      </c>
      <c r="O9" s="34"/>
      <c r="P9" s="34"/>
      <c r="R9" s="33"/>
    </row>
    <row r="10" spans="1:18">
      <c r="A10" s="33" t="s">
        <v>49</v>
      </c>
      <c r="B10" s="38">
        <f t="shared" si="0"/>
        <v>1527.048</v>
      </c>
      <c r="C10" s="34"/>
      <c r="D10" s="38">
        <f>IF(ISERROR(TER_ander_gas_kWh/1000),0,TER_ander_gas_kWh/1000)*0.902</f>
        <v>367.46938800000004</v>
      </c>
      <c r="E10" s="34">
        <f>$C$30*'E Balans VL '!I14/100/3.6*1000000</f>
        <v>12.455267591582819</v>
      </c>
      <c r="F10" s="34">
        <f>$C$30*('E Balans VL '!L14+'E Balans VL '!N14)/100/3.6*1000000</f>
        <v>445.10614063175018</v>
      </c>
      <c r="G10" s="35"/>
      <c r="H10" s="34"/>
      <c r="I10" s="34"/>
      <c r="J10" s="34">
        <f>$C$30*('E Balans VL '!D14+'E Balans VL '!E14)/100/3.6*1000000</f>
        <v>0</v>
      </c>
      <c r="K10" s="34"/>
      <c r="L10" s="34"/>
      <c r="M10" s="34"/>
      <c r="N10" s="34">
        <f>$C$30*'E Balans VL '!Y14/100/3.6*1000000</f>
        <v>725.27972966057496</v>
      </c>
      <c r="O10" s="34"/>
      <c r="P10" s="34"/>
      <c r="R10" s="33"/>
    </row>
    <row r="11" spans="1:18">
      <c r="A11" s="33" t="s">
        <v>54</v>
      </c>
      <c r="B11" s="38">
        <f t="shared" si="0"/>
        <v>279.58199999999999</v>
      </c>
      <c r="C11" s="34"/>
      <c r="D11" s="38">
        <f>IF(ISERROR(TER_onderwijs_gas_kWh/1000),0,TER_onderwijs_gas_kWh/1000)*0.902</f>
        <v>0</v>
      </c>
      <c r="E11" s="34">
        <f>$C$31*'E Balans VL '!I11/100/3.6*1000000</f>
        <v>0.23324585444162896</v>
      </c>
      <c r="F11" s="34">
        <f>$C$31*('E Balans VL '!L11+'E Balans VL '!N11)/100/3.6*1000000</f>
        <v>146.30564230135536</v>
      </c>
      <c r="G11" s="35"/>
      <c r="H11" s="34"/>
      <c r="I11" s="34"/>
      <c r="J11" s="34">
        <f>$C$31*('E Balans VL '!D11+'E Balans VL '!E11)/100/3.6*1000000</f>
        <v>0</v>
      </c>
      <c r="K11" s="34"/>
      <c r="L11" s="34"/>
      <c r="M11" s="34"/>
      <c r="N11" s="34">
        <f>$C$31*'E Balans VL '!Y11/100/3.6*1000000</f>
        <v>1.2309388699654471</v>
      </c>
      <c r="O11" s="34"/>
      <c r="P11" s="34"/>
      <c r="R11" s="33"/>
    </row>
    <row r="12" spans="1:18">
      <c r="A12" s="33" t="s">
        <v>249</v>
      </c>
      <c r="B12" s="38">
        <f t="shared" si="0"/>
        <v>0</v>
      </c>
      <c r="C12" s="34"/>
      <c r="D12" s="38">
        <f>IF(ISERROR(TER_rest_gas_kWh/1000),0,TER_rest_gas_kWh/1000)*0.902</f>
        <v>188.66412400000002</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energieproductie'!N39+'lokale energieproductie'!N32</f>
        <v>0</v>
      </c>
      <c r="C13" s="246">
        <f ca="1">'lokale energieproductie'!O39+'lokale energieproductie'!O32</f>
        <v>0</v>
      </c>
      <c r="D13" s="305">
        <f ca="1">('lokale energieproductie'!P32+'lokale energieproductie'!P39)*(-1)</f>
        <v>0</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6878.0250000000005</v>
      </c>
      <c r="C16" s="22">
        <f t="shared" ca="1" si="1"/>
        <v>0</v>
      </c>
      <c r="D16" s="22">
        <f t="shared" ca="1" si="1"/>
        <v>4284.6488300000001</v>
      </c>
      <c r="E16" s="22">
        <f t="shared" si="1"/>
        <v>47.05371225847697</v>
      </c>
      <c r="F16" s="22">
        <f t="shared" ca="1" si="1"/>
        <v>1470.7875031253227</v>
      </c>
      <c r="G16" s="22">
        <f t="shared" si="1"/>
        <v>0</v>
      </c>
      <c r="H16" s="22">
        <f t="shared" si="1"/>
        <v>0</v>
      </c>
      <c r="I16" s="22">
        <f t="shared" si="1"/>
        <v>0</v>
      </c>
      <c r="J16" s="22">
        <f t="shared" si="1"/>
        <v>0</v>
      </c>
      <c r="K16" s="22">
        <f t="shared" si="1"/>
        <v>0</v>
      </c>
      <c r="L16" s="22">
        <f t="shared" ca="1" si="1"/>
        <v>0</v>
      </c>
      <c r="M16" s="22">
        <f t="shared" si="1"/>
        <v>0</v>
      </c>
      <c r="N16" s="22">
        <f t="shared" ca="1" si="1"/>
        <v>755.48854746636255</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0.10276286906665982</v>
      </c>
      <c r="C18" s="26">
        <f ca="1">'EF ele_warmte'!B22</f>
        <v>2.0398786171238725E-5</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706.80558251221294</v>
      </c>
      <c r="C20" s="24">
        <f t="shared" ref="C20:P20" ca="1" si="2">C16*C18</f>
        <v>0</v>
      </c>
      <c r="D20" s="24">
        <f t="shared" ca="1" si="2"/>
        <v>865.49906366000005</v>
      </c>
      <c r="E20" s="24">
        <f t="shared" si="2"/>
        <v>10.681192682674272</v>
      </c>
      <c r="F20" s="24">
        <f t="shared" ca="1" si="2"/>
        <v>392.70026333446117</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1932.3610000000001</v>
      </c>
      <c r="C26" s="40">
        <f>IF(ISERROR(B26*3.6/1000000/'E Balans VL '!Z12*100),0,B26*3.6/1000000/'E Balans VL '!Z12*100)</f>
        <v>4.0956500288022744E-2</v>
      </c>
      <c r="D26" s="236" t="s">
        <v>660</v>
      </c>
      <c r="F26" s="6"/>
    </row>
    <row r="27" spans="1:18">
      <c r="A27" s="231" t="s">
        <v>52</v>
      </c>
      <c r="B27" s="34">
        <f>IF(ISERROR(TER_horeca_ele_kWh/1000),0,TER_horeca_ele_kWh/1000)</f>
        <v>352.60700000000003</v>
      </c>
      <c r="C27" s="40">
        <f>IF(ISERROR(B27*3.6/1000000/'E Balans VL '!Z9*100),0,B27*3.6/1000000/'E Balans VL '!Z9*100)</f>
        <v>2.7669580760715497E-2</v>
      </c>
      <c r="D27" s="236" t="s">
        <v>660</v>
      </c>
      <c r="F27" s="6"/>
    </row>
    <row r="28" spans="1:18">
      <c r="A28" s="171" t="s">
        <v>51</v>
      </c>
      <c r="B28" s="34">
        <f>IF(ISERROR(TER_handel_ele_kWh/1000),0,TER_handel_ele_kWh/1000)</f>
        <v>2403.7069999999999</v>
      </c>
      <c r="C28" s="40">
        <f>IF(ISERROR(B28*3.6/1000000/'E Balans VL '!Z13*100),0,B28*3.6/1000000/'E Balans VL '!Z13*100)</f>
        <v>6.7126991064722738E-2</v>
      </c>
      <c r="D28" s="236" t="s">
        <v>660</v>
      </c>
      <c r="F28" s="6"/>
    </row>
    <row r="29" spans="1:18">
      <c r="A29" s="231" t="s">
        <v>50</v>
      </c>
      <c r="B29" s="34">
        <f>IF(ISERROR(TER_gezond_ele_kWh/1000),0,TER_gezond_ele_kWh/1000)</f>
        <v>382.72</v>
      </c>
      <c r="C29" s="40">
        <f>IF(ISERROR(B29*3.6/1000000/'E Balans VL '!Z10*100),0,B29*3.6/1000000/'E Balans VL '!Z10*100)</f>
        <v>4.3859454638202795E-2</v>
      </c>
      <c r="D29" s="236" t="s">
        <v>660</v>
      </c>
      <c r="F29" s="6"/>
    </row>
    <row r="30" spans="1:18">
      <c r="A30" s="231" t="s">
        <v>49</v>
      </c>
      <c r="B30" s="34">
        <f>IF(ISERROR(TER_ander_ele_kWh/1000),0,TER_ander_ele_kWh/1000)</f>
        <v>1527.048</v>
      </c>
      <c r="C30" s="40">
        <f>IF(ISERROR(B30*3.6/1000000/'E Balans VL '!Z14*100),0,B30*3.6/1000000/'E Balans VL '!Z14*100)</f>
        <v>0.11386745301897759</v>
      </c>
      <c r="D30" s="236" t="s">
        <v>660</v>
      </c>
      <c r="F30" s="6"/>
    </row>
    <row r="31" spans="1:18">
      <c r="A31" s="231" t="s">
        <v>54</v>
      </c>
      <c r="B31" s="34">
        <f>IF(ISERROR(TER_onderwijs_ele_kWh/1000),0,TER_onderwijs_ele_kWh/1000)</f>
        <v>279.58199999999999</v>
      </c>
      <c r="C31" s="40">
        <f>IF(ISERROR(B31*3.6/1000000/'E Balans VL '!Z11*100),0,B31*3.6/1000000/'E Balans VL '!Z11*100)</f>
        <v>7.9905152221061163E-2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1147.758</v>
      </c>
      <c r="C5" s="18">
        <f>IF(ISERROR('Eigen informatie GS &amp; warmtenet'!B59),0,'Eigen informatie GS &amp; warmtenet'!B59)</f>
        <v>0</v>
      </c>
      <c r="D5" s="31">
        <f>SUM(D6:D15)</f>
        <v>752.32482600000003</v>
      </c>
      <c r="E5" s="18">
        <f>SUM(E6:E15)</f>
        <v>8.8491727344089615</v>
      </c>
      <c r="F5" s="18">
        <f>SUM(F6:F15)</f>
        <v>498.72268751088103</v>
      </c>
      <c r="G5" s="19"/>
      <c r="H5" s="18"/>
      <c r="I5" s="18"/>
      <c r="J5" s="18">
        <f>SUM(J6:J15)</f>
        <v>5.5812750170334073</v>
      </c>
      <c r="K5" s="18"/>
      <c r="L5" s="18"/>
      <c r="M5" s="18"/>
      <c r="N5" s="18">
        <f>SUM(N6:N15)</f>
        <v>48.397030611507063</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267.54000000000002</v>
      </c>
      <c r="C8" s="34"/>
      <c r="D8" s="38">
        <f>IF( ISERROR(IND_metaal_Gas_kWH/1000),0,IND_metaal_Gas_kWH/1000)*0.902</f>
        <v>0</v>
      </c>
      <c r="E8" s="34">
        <f>C30*'E Balans VL '!I18/100/3.6*1000000</f>
        <v>2.4364385659866947</v>
      </c>
      <c r="F8" s="34">
        <f>C30*'E Balans VL '!L18/100/3.6*1000000+C30*'E Balans VL '!N18/100/3.6*1000000</f>
        <v>35.28649426634388</v>
      </c>
      <c r="G8" s="35"/>
      <c r="H8" s="34"/>
      <c r="I8" s="34"/>
      <c r="J8" s="41">
        <f>C30*'E Balans VL '!D18/100/3.6*1000000+C30*'E Balans VL '!E18/100/3.6*1000000</f>
        <v>4.3872675459078136</v>
      </c>
      <c r="K8" s="34"/>
      <c r="L8" s="34"/>
      <c r="M8" s="34"/>
      <c r="N8" s="34">
        <f>C30*'E Balans VL '!Y18/100/3.6*1000000</f>
        <v>0.91942870000762877</v>
      </c>
      <c r="O8" s="34"/>
      <c r="P8" s="34"/>
      <c r="R8" s="33"/>
    </row>
    <row r="9" spans="1:18">
      <c r="A9" s="6" t="s">
        <v>32</v>
      </c>
      <c r="B9" s="38">
        <f t="shared" si="0"/>
        <v>505.661</v>
      </c>
      <c r="C9" s="34"/>
      <c r="D9" s="38">
        <f>IF( ISERROR(IND_andere_gas_kWh/1000),0,IND_andere_gas_kWh/1000)*0.902</f>
        <v>252.80624600000002</v>
      </c>
      <c r="E9" s="34">
        <f>C31*'E Balans VL '!I19/100/3.6*1000000</f>
        <v>2.9227961447862616</v>
      </c>
      <c r="F9" s="34">
        <f>C31*'E Balans VL '!L19/100/3.6*1000000+C31*'E Balans VL '!N19/100/3.6*1000000</f>
        <v>402.27765694448925</v>
      </c>
      <c r="G9" s="35"/>
      <c r="H9" s="34"/>
      <c r="I9" s="34"/>
      <c r="J9" s="41">
        <f>C31*'E Balans VL '!D19/100/3.6*1000000+C31*'E Balans VL '!E19/100/3.6*1000000</f>
        <v>4.782991387669893E-2</v>
      </c>
      <c r="K9" s="34"/>
      <c r="L9" s="34"/>
      <c r="M9" s="34"/>
      <c r="N9" s="34">
        <f>C31*'E Balans VL '!Y19/100/3.6*1000000</f>
        <v>38.31147307327759</v>
      </c>
      <c r="O9" s="34"/>
      <c r="P9" s="34"/>
      <c r="R9" s="33"/>
    </row>
    <row r="10" spans="1:18">
      <c r="A10" s="6" t="s">
        <v>40</v>
      </c>
      <c r="B10" s="38">
        <f t="shared" si="0"/>
        <v>146.74799999999999</v>
      </c>
      <c r="C10" s="34"/>
      <c r="D10" s="38">
        <f>IF( ISERROR(IND_voed_gas_kWh/1000),0,IND_voed_gas_kWh/1000)*0.902</f>
        <v>0</v>
      </c>
      <c r="E10" s="34">
        <f>C32*'E Balans VL '!I20/100/3.6*1000000</f>
        <v>1.4429167549731308</v>
      </c>
      <c r="F10" s="34">
        <f>C32*'E Balans VL '!L20/100/3.6*1000000+C32*'E Balans VL '!N20/100/3.6*1000000</f>
        <v>16.298280849459172</v>
      </c>
      <c r="G10" s="35"/>
      <c r="H10" s="34"/>
      <c r="I10" s="34"/>
      <c r="J10" s="41">
        <f>C32*'E Balans VL '!D20/100/3.6*1000000+C32*'E Balans VL '!E20/100/3.6*1000000</f>
        <v>5.7840048758334617E-4</v>
      </c>
      <c r="K10" s="34"/>
      <c r="L10" s="34"/>
      <c r="M10" s="34"/>
      <c r="N10" s="34">
        <f>C32*'E Balans VL '!Y20/100/3.6*1000000</f>
        <v>2.1729926923185507</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227.809</v>
      </c>
      <c r="C15" s="34"/>
      <c r="D15" s="38">
        <f>IF( ISERROR(IND_rest_gas_kWh/1000),0,IND_rest_gas_kWh/1000)*0.902</f>
        <v>499.51857999999999</v>
      </c>
      <c r="E15" s="34">
        <f>C37*'E Balans VL '!I15/100/3.6*1000000</f>
        <v>2.047021268662875</v>
      </c>
      <c r="F15" s="34">
        <f>C37*'E Balans VL '!L15/100/3.6*1000000+C37*'E Balans VL '!N15/100/3.6*1000000</f>
        <v>44.860255450588738</v>
      </c>
      <c r="G15" s="35"/>
      <c r="H15" s="34"/>
      <c r="I15" s="34"/>
      <c r="J15" s="41">
        <f>C37*'E Balans VL '!D15/100/3.6*1000000+C37*'E Balans VL '!E15/100/3.6*1000000</f>
        <v>1.1455991567613117</v>
      </c>
      <c r="K15" s="34"/>
      <c r="L15" s="34"/>
      <c r="M15" s="34"/>
      <c r="N15" s="34">
        <f>C37*'E Balans VL '!Y15/100/3.6*1000000</f>
        <v>6.9931361459032946</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1147.758</v>
      </c>
      <c r="C18" s="22">
        <f>C5+C16</f>
        <v>0</v>
      </c>
      <c r="D18" s="22">
        <f>MAX((D5+D16),0)</f>
        <v>752.32482600000003</v>
      </c>
      <c r="E18" s="22">
        <f>MAX((E5+E16),0)</f>
        <v>8.8491727344089615</v>
      </c>
      <c r="F18" s="22">
        <f>MAX((F5+F16),0)</f>
        <v>498.72268751088103</v>
      </c>
      <c r="G18" s="22"/>
      <c r="H18" s="22"/>
      <c r="I18" s="22"/>
      <c r="J18" s="22">
        <f>MAX((J5+J16),0)</f>
        <v>5.5812750170334073</v>
      </c>
      <c r="K18" s="22"/>
      <c r="L18" s="22">
        <f>MAX((L5+L16),0)</f>
        <v>0</v>
      </c>
      <c r="M18" s="22"/>
      <c r="N18" s="22">
        <f>MAX((N5+N16),0)</f>
        <v>48.397030611507063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0.10276286906665982</v>
      </c>
      <c r="C20" s="26">
        <f ca="1">'EF ele_warmte'!B22</f>
        <v>2.0398786171238725E-5</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117.94690507421134</v>
      </c>
      <c r="C22" s="24">
        <f ca="1">C18*C20</f>
        <v>0</v>
      </c>
      <c r="D22" s="24">
        <f>D18*D20</f>
        <v>151.96961485200001</v>
      </c>
      <c r="E22" s="24">
        <f>E18*E20</f>
        <v>2.0087622107108345</v>
      </c>
      <c r="F22" s="24">
        <f>F18*F20</f>
        <v>133.15895756540525</v>
      </c>
      <c r="G22" s="24"/>
      <c r="H22" s="24"/>
      <c r="I22" s="24"/>
      <c r="J22" s="24">
        <f>J18*J20</f>
        <v>1.975771356029826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267.54000000000002</v>
      </c>
      <c r="C30" s="40">
        <f>IF(ISERROR(B30*3.6/1000000/'E Balans VL '!Z18*100),0,B30*3.6/1000000/'E Balans VL '!Z18*100)</f>
        <v>1.4886811975369367E-2</v>
      </c>
      <c r="D30" s="236" t="s">
        <v>660</v>
      </c>
    </row>
    <row r="31" spans="1:18">
      <c r="A31" s="6" t="s">
        <v>32</v>
      </c>
      <c r="B31" s="38">
        <f>IF( ISERROR(IND_ander_ele_kWh/1000),0,IND_ander_ele_kWh/1000)</f>
        <v>505.661</v>
      </c>
      <c r="C31" s="40">
        <f>IF(ISERROR(B31*3.6/1000000/'E Balans VL '!Z19*100),0,B31*3.6/1000000/'E Balans VL '!Z19*100)</f>
        <v>2.350685187114214E-2</v>
      </c>
      <c r="D31" s="236" t="s">
        <v>660</v>
      </c>
    </row>
    <row r="32" spans="1:18">
      <c r="A32" s="171" t="s">
        <v>40</v>
      </c>
      <c r="B32" s="38">
        <f>IF( ISERROR(IND_voed_ele_kWh/1000),0,IND_voed_ele_kWh/1000)</f>
        <v>146.74799999999999</v>
      </c>
      <c r="C32" s="40">
        <f>IF(ISERROR(B32*3.6/1000000/'E Balans VL '!Z20*100),0,B32*3.6/1000000/'E Balans VL '!Z20*100)</f>
        <v>5.1872454298625944E-3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227.809</v>
      </c>
      <c r="C37" s="40">
        <f>IF(ISERROR(B37*3.6/1000000/'E Balans VL '!Z15*100),0,B37*3.6/1000000/'E Balans VL '!Z15*100)</f>
        <v>1.7202944747805838E-3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1816.902</v>
      </c>
      <c r="C5" s="18">
        <f>'Eigen informatie GS &amp; warmtenet'!B60</f>
        <v>0</v>
      </c>
      <c r="D5" s="31">
        <f>IF(ISERROR(SUM(LB_lb_gas_kWh,LB_rest_gas_kWh)/1000),0,SUM(LB_lb_gas_kWh,LB_rest_gas_kWh)/1000)*0.902</f>
        <v>122.92275599999999</v>
      </c>
      <c r="E5" s="18">
        <f>B17*'E Balans VL '!I25/3.6*1000000/100</f>
        <v>17.942237941437408</v>
      </c>
      <c r="F5" s="18">
        <f>B17*('E Balans VL '!L25/3.6*1000000+'E Balans VL '!N25/3.6*1000000)/100</f>
        <v>6061.6658205791782</v>
      </c>
      <c r="G5" s="19"/>
      <c r="H5" s="18"/>
      <c r="I5" s="18"/>
      <c r="J5" s="18">
        <f>('E Balans VL '!D25+'E Balans VL '!E25)/3.6*1000000*landbouw!B17/100</f>
        <v>181.27167271156344</v>
      </c>
      <c r="K5" s="18"/>
      <c r="L5" s="18">
        <f>L6*(-1)</f>
        <v>0</v>
      </c>
      <c r="M5" s="18"/>
      <c r="N5" s="18">
        <f>N6*(-1)</f>
        <v>31770.000000000004</v>
      </c>
      <c r="O5" s="18"/>
      <c r="P5" s="18"/>
      <c r="R5" s="33"/>
    </row>
    <row r="6" spans="1:18">
      <c r="A6" s="17" t="s">
        <v>488</v>
      </c>
      <c r="B6" s="18" t="s">
        <v>204</v>
      </c>
      <c r="C6" s="18">
        <f>'lokale energieproductie'!O40+'lokale energieproductie'!O33</f>
        <v>15887.045454545454</v>
      </c>
      <c r="D6" s="305">
        <f>('lokale energieproductie'!P33+'lokale energieproductie'!P40)*(-1)</f>
        <v>-2.7272727272727275</v>
      </c>
      <c r="E6" s="247"/>
      <c r="F6" s="305">
        <f>('lokale energieproductie'!S33+'lokale energieproductie'!S40)*(-1)</f>
        <v>0</v>
      </c>
      <c r="G6" s="248"/>
      <c r="H6" s="247"/>
      <c r="I6" s="247"/>
      <c r="J6" s="247"/>
      <c r="K6" s="247"/>
      <c r="L6" s="305">
        <f>('lokale energieproductie'!T33+'lokale energieproductie'!U33+'lokale energieproductie'!T40+'lokale energieproductie'!U40)*(-1)</f>
        <v>0</v>
      </c>
      <c r="M6" s="247"/>
      <c r="N6" s="305">
        <f>('lokale energieproductie'!V33+'lokale energieproductie'!R33+'lokale energieproductie'!Q33+'lokale energieproductie'!Q40+'lokale energieproductie'!R40+'lokale energieproductie'!V40)*(-1)</f>
        <v>-31770.000000000004</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1816.902</v>
      </c>
      <c r="C8" s="22">
        <f>C5+C6</f>
        <v>15887.045454545454</v>
      </c>
      <c r="D8" s="22">
        <f>MAX((D5+D6),0)</f>
        <v>120.19548327272726</v>
      </c>
      <c r="E8" s="22">
        <f>MAX((E5+E6),0)</f>
        <v>17.942237941437408</v>
      </c>
      <c r="F8" s="22">
        <f>MAX((F5+F6),0)</f>
        <v>6061.6658205791782</v>
      </c>
      <c r="G8" s="22"/>
      <c r="H8" s="22"/>
      <c r="I8" s="22"/>
      <c r="J8" s="22">
        <f>MAX((J5+J6),0)</f>
        <v>181.27167271156344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0.10276286906665982</v>
      </c>
      <c r="C10" s="32">
        <f ca="1">'EF ele_warmte'!B22</f>
        <v>2.0398786171238725E-5</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186.71006233295236</v>
      </c>
      <c r="C12" s="24">
        <f ca="1">C8*C10</f>
        <v>0.32407644312002287</v>
      </c>
      <c r="D12" s="24">
        <f>D8*D10</f>
        <v>24.279487621090908</v>
      </c>
      <c r="E12" s="24">
        <f>E8*E10</f>
        <v>4.0728880127062919</v>
      </c>
      <c r="F12" s="24">
        <f>F8*F10</f>
        <v>1618.4647740946407</v>
      </c>
      <c r="G12" s="24"/>
      <c r="H12" s="24"/>
      <c r="I12" s="24"/>
      <c r="J12" s="24">
        <f>J8*J10</f>
        <v>64.170172139893452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0.24597949763414231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169.12422260599976</v>
      </c>
      <c r="C26" s="246">
        <f>B26*'GWP N2O_CH4'!B5</f>
        <v>3551.6086747259951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44.612810339579923</v>
      </c>
      <c r="C27" s="246">
        <f>B27*'GWP N2O_CH4'!B5</f>
        <v>936.86901713117834</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2.9226821357210921</v>
      </c>
      <c r="C28" s="246">
        <f>B28*'GWP N2O_CH4'!B4</f>
        <v>906.03146207353859</v>
      </c>
      <c r="D28" s="51"/>
    </row>
    <row r="29" spans="1:4">
      <c r="A29" s="42" t="s">
        <v>266</v>
      </c>
      <c r="B29" s="246">
        <f>B34*'ha_N2O bodem landbouw'!B4</f>
        <v>10.887330222073283</v>
      </c>
      <c r="C29" s="246">
        <f>B29*'GWP N2O_CH4'!B4</f>
        <v>3375.0723688427179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2.9392364238992382E-3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1.0674151897192857E-5</v>
      </c>
      <c r="C5" s="433" t="s">
        <v>204</v>
      </c>
      <c r="D5" s="418">
        <f>SUM(D6:D11)</f>
        <v>1.3738966272170397E-5</v>
      </c>
      <c r="E5" s="418">
        <f>SUM(E6:E11)</f>
        <v>8.7356932350977445E-4</v>
      </c>
      <c r="F5" s="431" t="s">
        <v>204</v>
      </c>
      <c r="G5" s="418">
        <f>SUM(G6:G11)</f>
        <v>0.1850820986823257</v>
      </c>
      <c r="H5" s="418">
        <f>SUM(H6:H11)</f>
        <v>3.4906611336357106E-2</v>
      </c>
      <c r="I5" s="433" t="s">
        <v>204</v>
      </c>
      <c r="J5" s="433" t="s">
        <v>204</v>
      </c>
      <c r="K5" s="433" t="s">
        <v>204</v>
      </c>
      <c r="L5" s="433" t="s">
        <v>204</v>
      </c>
      <c r="M5" s="418">
        <f>SUM(M6:M11)</f>
        <v>9.8342654192091292E-3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8.0373642205725686E-6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9.321880329701681E-6</v>
      </c>
      <c r="E6" s="421">
        <f>vkm_GW_PW*SUMIFS(TableVerdeelsleutelVkm[LPG],TableVerdeelsleutelVkm[Voertuigtype],"Lichte voertuigen")*SUMIFS(TableECFTransport[EnergieConsumptieFactor (PJ per km)],TableECFTransport[Index],CONCATENATE($A6,"_LPG_LPG"))</f>
        <v>6.033710551631514E-4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9.5134567116503185E-2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2.4056040238703693E-2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5.3349795528876767E-3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2.9933996172697603E-7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4.9517093753324949E-2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1.543198622301466E-6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2.2033589626250191E-3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2.3367505487805552E-6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4.4170859424687155E-6</v>
      </c>
      <c r="E8" s="421">
        <f>vkm_NGW_PW*SUMIFS(TableVerdeelsleutelVkm[LPG],TableVerdeelsleutelVkm[Voertuigtype],"Lichte voertuigen")*SUMIFS(TableECFTransport[EnergieConsumptieFactor (PJ per km)],TableECFTransport[Index],CONCATENATE($A8,"_LPG_LPG"))</f>
        <v>2.7019826834662306E-4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4.0282550218849356E-2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1.084902356082838E-2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2.2893463712740886E-3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6.9716611275787995E-10</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1.4788759364819446E-4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4.3382027318869521E-9</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6.5805324223451498E-6</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2.9650421936646829</v>
      </c>
      <c r="C14" s="22"/>
      <c r="D14" s="22">
        <f t="shared" ref="D14:M14" si="0">((D5)*10^9/3600)+D12</f>
        <v>3.8163795200473327</v>
      </c>
      <c r="E14" s="22">
        <f t="shared" si="0"/>
        <v>242.65814541938178</v>
      </c>
      <c r="F14" s="22"/>
      <c r="G14" s="22">
        <f t="shared" si="0"/>
        <v>51411.694078423803</v>
      </c>
      <c r="H14" s="22">
        <f t="shared" si="0"/>
        <v>9696.2809267658631</v>
      </c>
      <c r="I14" s="22"/>
      <c r="J14" s="22"/>
      <c r="K14" s="22"/>
      <c r="L14" s="22"/>
      <c r="M14" s="22">
        <f t="shared" si="0"/>
        <v>2731.7403942247583</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0.10276286906665982</v>
      </c>
      <c r="C16" s="57">
        <f ca="1">'EF ele_warmte'!B22</f>
        <v>2.0398786171238725E-5</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0.30469624272468565</v>
      </c>
      <c r="C18" s="24"/>
      <c r="D18" s="24">
        <f t="shared" ref="D18:M18" si="1">D14*D16</f>
        <v>0.77090866304956129</v>
      </c>
      <c r="E18" s="24">
        <f t="shared" si="1"/>
        <v>55.083399010199663</v>
      </c>
      <c r="F18" s="24"/>
      <c r="G18" s="24">
        <f t="shared" si="1"/>
        <v>13726.922318939156</v>
      </c>
      <c r="H18" s="24">
        <f t="shared" si="1"/>
        <v>2414.3739507647001</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1.7304144082650662E-5</v>
      </c>
      <c r="C50" s="316">
        <f t="shared" ref="C50:P50" si="2">SUM(C51:C52)</f>
        <v>0</v>
      </c>
      <c r="D50" s="316">
        <f t="shared" si="2"/>
        <v>0</v>
      </c>
      <c r="E50" s="316">
        <f t="shared" si="2"/>
        <v>0</v>
      </c>
      <c r="F50" s="316">
        <f t="shared" si="2"/>
        <v>0</v>
      </c>
      <c r="G50" s="316">
        <f t="shared" si="2"/>
        <v>3.451345749130696E-3</v>
      </c>
      <c r="H50" s="316">
        <f t="shared" si="2"/>
        <v>0</v>
      </c>
      <c r="I50" s="316">
        <f t="shared" si="2"/>
        <v>0</v>
      </c>
      <c r="J50" s="316">
        <f t="shared" si="2"/>
        <v>0</v>
      </c>
      <c r="K50" s="316">
        <f t="shared" si="2"/>
        <v>0</v>
      </c>
      <c r="L50" s="316">
        <f t="shared" si="2"/>
        <v>0</v>
      </c>
      <c r="M50" s="316">
        <f t="shared" si="2"/>
        <v>1.5254580628020314E-4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1.7304144082650662E-5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3.451345749130696E-3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1.5254580628020314E-4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4.8067066896251838</v>
      </c>
      <c r="C54" s="22">
        <f t="shared" ref="C54:P54" si="3">(C50)*10^9/3600</f>
        <v>0</v>
      </c>
      <c r="D54" s="22">
        <f t="shared" si="3"/>
        <v>0</v>
      </c>
      <c r="E54" s="22">
        <f t="shared" si="3"/>
        <v>0</v>
      </c>
      <c r="F54" s="22">
        <f t="shared" si="3"/>
        <v>0</v>
      </c>
      <c r="G54" s="22">
        <f t="shared" si="3"/>
        <v>958.70715253630442</v>
      </c>
      <c r="H54" s="22">
        <f t="shared" si="3"/>
        <v>0</v>
      </c>
      <c r="I54" s="22">
        <f t="shared" si="3"/>
        <v>0</v>
      </c>
      <c r="J54" s="22">
        <f t="shared" si="3"/>
        <v>0</v>
      </c>
      <c r="K54" s="22">
        <f t="shared" si="3"/>
        <v>0</v>
      </c>
      <c r="L54" s="22">
        <f t="shared" si="3"/>
        <v>0</v>
      </c>
      <c r="M54" s="22">
        <f t="shared" si="3"/>
        <v>42.373835077834201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0.10276286906665982</v>
      </c>
      <c r="C56" s="57">
        <f ca="1">'EF ele_warmte'!B22</f>
        <v>2.0398786171238725E-5</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0.49395097018779066</v>
      </c>
      <c r="C58" s="24">
        <f t="shared" ref="C58:P58" ca="1" si="4">C54*C56</f>
        <v>0</v>
      </c>
      <c r="D58" s="24">
        <f t="shared" si="4"/>
        <v>0</v>
      </c>
      <c r="E58" s="24">
        <f t="shared" si="4"/>
        <v>0</v>
      </c>
      <c r="F58" s="24">
        <f t="shared" si="4"/>
        <v>0</v>
      </c>
      <c r="G58" s="24">
        <f t="shared" si="4"/>
        <v>255.9748097271933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2846.7971422949113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11119.90909090909</v>
      </c>
      <c r="C8" s="544">
        <f>B49</f>
        <v>1.1229338999458818</v>
      </c>
      <c r="D8" s="931"/>
      <c r="E8" s="931">
        <f>E49</f>
        <v>0</v>
      </c>
      <c r="F8" s="932"/>
      <c r="G8" s="545"/>
      <c r="H8" s="931">
        <f>I49</f>
        <v>0</v>
      </c>
      <c r="I8" s="931">
        <f>G49+F49</f>
        <v>0</v>
      </c>
      <c r="J8" s="931">
        <f>H49+D49+C49</f>
        <v>13081.057000469578</v>
      </c>
      <c r="K8" s="931"/>
      <c r="L8" s="931"/>
      <c r="M8" s="931"/>
      <c r="N8" s="546"/>
      <c r="O8" s="547">
        <f>C8*$C$12+D8*$D$12+E8*$E$12+F8*$F$12+G8*$G$12+H8*$H$12+I8*$I$12+J8*$J$12</f>
        <v>0.22683264778906814</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13966.706233204</v>
      </c>
      <c r="C10" s="556">
        <f t="shared" ref="C10:L10" si="0">SUM(C8:C9)</f>
        <v>1.1229338999458818</v>
      </c>
      <c r="D10" s="556">
        <f t="shared" si="0"/>
        <v>0</v>
      </c>
      <c r="E10" s="556">
        <f t="shared" si="0"/>
        <v>0</v>
      </c>
      <c r="F10" s="556">
        <f t="shared" si="0"/>
        <v>0</v>
      </c>
      <c r="G10" s="556">
        <f t="shared" si="0"/>
        <v>0</v>
      </c>
      <c r="H10" s="556">
        <f t="shared" si="0"/>
        <v>0</v>
      </c>
      <c r="I10" s="556">
        <f t="shared" si="0"/>
        <v>0</v>
      </c>
      <c r="J10" s="556">
        <f t="shared" si="0"/>
        <v>13081.057000469578</v>
      </c>
      <c r="K10" s="556">
        <f t="shared" si="0"/>
        <v>0</v>
      </c>
      <c r="L10" s="556">
        <f t="shared" si="0"/>
        <v>0</v>
      </c>
      <c r="M10" s="935"/>
      <c r="N10" s="935"/>
      <c r="O10" s="557">
        <f>SUM(O4:O9)</f>
        <v>0.22683264778906814</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15887.045454545454</v>
      </c>
      <c r="C17" s="568">
        <f>B50</f>
        <v>1.6043388273268457</v>
      </c>
      <c r="D17" s="569"/>
      <c r="E17" s="569">
        <f>E50</f>
        <v>0</v>
      </c>
      <c r="F17" s="570"/>
      <c r="G17" s="571"/>
      <c r="H17" s="568">
        <f>I50</f>
        <v>0</v>
      </c>
      <c r="I17" s="569">
        <f>G50+F50</f>
        <v>0</v>
      </c>
      <c r="J17" s="569">
        <f>H50+D50+C50</f>
        <v>18688.942999530427</v>
      </c>
      <c r="K17" s="569"/>
      <c r="L17" s="569"/>
      <c r="M17" s="569"/>
      <c r="N17" s="938"/>
      <c r="O17" s="572">
        <f>C17*$C$22+E17*$E$22+H17*$H$22+I17*$I$22+J17*$J$22+D17*$D$22+F17*$F$22+G17*$G$22+K17*$K$22+L17*$L$22</f>
        <v>0.32407644312002287</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15887.045454545454</v>
      </c>
      <c r="C20" s="555">
        <f>SUM(C17:C19)</f>
        <v>1.6043388273268457</v>
      </c>
      <c r="D20" s="555">
        <f t="shared" ref="D20:L20" si="1">SUM(D17:D19)</f>
        <v>0</v>
      </c>
      <c r="E20" s="555">
        <f t="shared" si="1"/>
        <v>0</v>
      </c>
      <c r="F20" s="555">
        <f t="shared" si="1"/>
        <v>0</v>
      </c>
      <c r="G20" s="555">
        <f t="shared" si="1"/>
        <v>0</v>
      </c>
      <c r="H20" s="555">
        <f t="shared" si="1"/>
        <v>0</v>
      </c>
      <c r="I20" s="555">
        <f t="shared" si="1"/>
        <v>0</v>
      </c>
      <c r="J20" s="555">
        <f t="shared" si="1"/>
        <v>18688.942999530427</v>
      </c>
      <c r="K20" s="555">
        <f t="shared" si="1"/>
        <v>0</v>
      </c>
      <c r="L20" s="555">
        <f t="shared" si="1"/>
        <v>0</v>
      </c>
      <c r="M20" s="555"/>
      <c r="N20" s="555"/>
      <c r="O20" s="576">
        <f>SUM(O17:O19)</f>
        <v>0.32407644312002287</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73040</v>
      </c>
      <c r="C28" s="740">
        <v>3724</v>
      </c>
      <c r="D28" s="628"/>
      <c r="E28" s="627"/>
      <c r="F28" s="627"/>
      <c r="G28" s="627" t="s">
        <v>942</v>
      </c>
      <c r="H28" s="627" t="s">
        <v>943</v>
      </c>
      <c r="I28" s="627"/>
      <c r="J28" s="739"/>
      <c r="K28" s="739"/>
      <c r="L28" s="627" t="s">
        <v>944</v>
      </c>
      <c r="M28" s="627">
        <v>2471</v>
      </c>
      <c r="N28" s="627">
        <v>11119.5</v>
      </c>
      <c r="O28" s="627">
        <v>15885</v>
      </c>
      <c r="P28" s="627">
        <v>0</v>
      </c>
      <c r="Q28" s="627">
        <v>31770.000000000004</v>
      </c>
      <c r="R28" s="627">
        <v>0</v>
      </c>
      <c r="S28" s="627">
        <v>0</v>
      </c>
      <c r="T28" s="627">
        <v>0</v>
      </c>
      <c r="U28" s="627">
        <v>0</v>
      </c>
      <c r="V28" s="627">
        <v>0</v>
      </c>
      <c r="W28" s="627"/>
      <c r="X28" s="627"/>
      <c r="Y28" s="627">
        <v>10</v>
      </c>
      <c r="Z28" s="627" t="s">
        <v>105</v>
      </c>
      <c r="AA28" s="629" t="s">
        <v>105</v>
      </c>
    </row>
    <row r="29" spans="1:27" s="581" customFormat="1" ht="12.75" hidden="1">
      <c r="A29" s="580"/>
      <c r="B29" s="740">
        <v>73040</v>
      </c>
      <c r="C29" s="740">
        <v>3721</v>
      </c>
      <c r="D29" s="628"/>
      <c r="E29" s="627"/>
      <c r="F29" s="627"/>
      <c r="G29" s="627" t="s">
        <v>945</v>
      </c>
      <c r="H29" s="627" t="s">
        <v>945</v>
      </c>
      <c r="I29" s="627"/>
      <c r="J29" s="739"/>
      <c r="K29" s="739"/>
      <c r="L29" s="627" t="s">
        <v>944</v>
      </c>
      <c r="M29" s="627">
        <v>1</v>
      </c>
      <c r="N29" s="627">
        <v>0.40909090909090912</v>
      </c>
      <c r="O29" s="627">
        <v>2.0454545454545454</v>
      </c>
      <c r="P29" s="627">
        <v>2.7272727272727275</v>
      </c>
      <c r="Q29" s="627">
        <v>0</v>
      </c>
      <c r="R29" s="627">
        <v>0</v>
      </c>
      <c r="S29" s="627">
        <v>0</v>
      </c>
      <c r="T29" s="627">
        <v>0</v>
      </c>
      <c r="U29" s="627">
        <v>0</v>
      </c>
      <c r="V29" s="627">
        <v>0</v>
      </c>
      <c r="W29" s="627"/>
      <c r="X29" s="627"/>
      <c r="Y29" s="627">
        <v>10</v>
      </c>
      <c r="Z29" s="627" t="s">
        <v>105</v>
      </c>
      <c r="AA29" s="629" t="s">
        <v>105</v>
      </c>
    </row>
    <row r="30" spans="1:27" s="563" customFormat="1" hidden="1">
      <c r="A30" s="583" t="s">
        <v>269</v>
      </c>
      <c r="B30" s="584"/>
      <c r="C30" s="584"/>
      <c r="D30" s="584"/>
      <c r="E30" s="584"/>
      <c r="F30" s="584"/>
      <c r="G30" s="584"/>
      <c r="H30" s="584"/>
      <c r="I30" s="584"/>
      <c r="J30" s="584"/>
      <c r="K30" s="584"/>
      <c r="L30" s="585"/>
      <c r="M30" s="585">
        <f>SUM(M28:M29)</f>
        <v>2472</v>
      </c>
      <c r="N30" s="585">
        <f>SUM(N28:N29)</f>
        <v>11119.90909090909</v>
      </c>
      <c r="O30" s="585">
        <f>SUM(O28:O29)</f>
        <v>15887.045454545454</v>
      </c>
      <c r="P30" s="585">
        <f>SUM(P28:P29)</f>
        <v>2.7272727272727275</v>
      </c>
      <c r="Q30" s="585">
        <f>SUM(Q28:Q29)</f>
        <v>31770.000000000004</v>
      </c>
      <c r="R30" s="585">
        <f>SUM(R28:R29)</f>
        <v>0</v>
      </c>
      <c r="S30" s="585">
        <f>SUM(S28:S29)</f>
        <v>0</v>
      </c>
      <c r="T30" s="585">
        <f>SUM(T28:T29)</f>
        <v>0</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0</v>
      </c>
      <c r="N32" s="585">
        <f ca="1">SUMIF($AA$28:AE29,"tertiair",N28:N29)</f>
        <v>0</v>
      </c>
      <c r="O32" s="585">
        <f ca="1">SUMIF($AA$28:AF29,"tertiair",O28:O29)</f>
        <v>0</v>
      </c>
      <c r="P32" s="585">
        <f ca="1">SUMIF($AA$28:AG29,"tertiair",P28:P29)</f>
        <v>0</v>
      </c>
      <c r="Q32" s="585">
        <f ca="1">SUMIF($AA$28:AH29,"tertiair",Q28:Q29)</f>
        <v>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2472</v>
      </c>
      <c r="N33" s="590">
        <f>SUMIF($AA$28:$AA$29,"landbouw",N28:N29)</f>
        <v>11119.90909090909</v>
      </c>
      <c r="O33" s="590">
        <f>SUMIF($AA$28:$AA$29,"landbouw",O28:O29)</f>
        <v>15887.045454545454</v>
      </c>
      <c r="P33" s="590">
        <f>SUMIF($AA$28:$AA$29,"landbouw",P28:P29)</f>
        <v>2.7272727272727275</v>
      </c>
      <c r="Q33" s="590">
        <f>SUMIF($AA$28:$AA$29,"landbouw",Q28:Q29)</f>
        <v>31770.000000000004</v>
      </c>
      <c r="R33" s="590">
        <f>SUMIF($AA$28:$AA$29,"landbouw",R28:R29)</f>
        <v>0</v>
      </c>
      <c r="S33" s="590">
        <f>SUMIF($AA$28:$AA$29,"landbouw",S28:S29)</f>
        <v>0</v>
      </c>
      <c r="T33" s="590">
        <f>SUMIF($AA$28:$AA$29,"landbouw",T28:T29)</f>
        <v>0</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0.58825757001984336</v>
      </c>
      <c r="C46" s="610">
        <f>IF(ISERROR(N30/(O30+N30)),0,N30/(N30+O30))</f>
        <v>0.41174242998015664</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1.1229338999458818</v>
      </c>
      <c r="C49" s="619">
        <f t="shared" si="2"/>
        <v>13081.057000469578</v>
      </c>
      <c r="D49" s="619">
        <f t="shared" si="2"/>
        <v>0</v>
      </c>
      <c r="E49" s="619">
        <f t="shared" si="2"/>
        <v>0</v>
      </c>
      <c r="F49" s="619">
        <f t="shared" si="2"/>
        <v>0</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1.6043388273268457</v>
      </c>
      <c r="C50" s="622">
        <f t="shared" si="3"/>
        <v>18688.942999530427</v>
      </c>
      <c r="D50" s="622">
        <f t="shared" si="3"/>
        <v>0</v>
      </c>
      <c r="E50" s="622">
        <f t="shared" si="3"/>
        <v>0</v>
      </c>
      <c r="F50" s="622">
        <f t="shared" si="3"/>
        <v>0</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7333.4210000000003</v>
      </c>
      <c r="D10" s="639">
        <f ca="1">tertiair!C16</f>
        <v>0</v>
      </c>
      <c r="E10" s="639">
        <f ca="1">tertiair!D16</f>
        <v>4284.6488300000001</v>
      </c>
      <c r="F10" s="639">
        <f>tertiair!E16</f>
        <v>47.05371225847697</v>
      </c>
      <c r="G10" s="639">
        <f ca="1">tertiair!F16</f>
        <v>1470.7875031253227</v>
      </c>
      <c r="H10" s="639">
        <f>tertiair!G16</f>
        <v>0</v>
      </c>
      <c r="I10" s="639">
        <f>tertiair!H16</f>
        <v>0</v>
      </c>
      <c r="J10" s="639">
        <f>tertiair!I16</f>
        <v>0</v>
      </c>
      <c r="K10" s="639">
        <f>tertiair!J16</f>
        <v>0</v>
      </c>
      <c r="L10" s="639">
        <f>tertiair!K16</f>
        <v>0</v>
      </c>
      <c r="M10" s="639">
        <f ca="1">tertiair!L16</f>
        <v>0</v>
      </c>
      <c r="N10" s="639">
        <f>tertiair!M16</f>
        <v>0</v>
      </c>
      <c r="O10" s="639">
        <f ca="1">tertiair!N16</f>
        <v>755.48854746636255</v>
      </c>
      <c r="P10" s="639">
        <f>tertiair!O16</f>
        <v>0</v>
      </c>
      <c r="Q10" s="640">
        <f>tertiair!P16</f>
        <v>0</v>
      </c>
      <c r="R10" s="642">
        <f ca="1">SUM(C10:Q10)</f>
        <v>13891.399592850163</v>
      </c>
      <c r="S10" s="68"/>
    </row>
    <row r="11" spans="1:19" s="443" customFormat="1">
      <c r="A11" s="753" t="s">
        <v>214</v>
      </c>
      <c r="B11" s="758"/>
      <c r="C11" s="639">
        <f>huishoudens!B8</f>
        <v>15502.856258815076</v>
      </c>
      <c r="D11" s="639">
        <f>huishoudens!C8</f>
        <v>0</v>
      </c>
      <c r="E11" s="639">
        <f>huishoudens!D8</f>
        <v>18959.40409</v>
      </c>
      <c r="F11" s="639">
        <f>huishoudens!E8</f>
        <v>1108.742574250417</v>
      </c>
      <c r="G11" s="639">
        <f>huishoudens!F8</f>
        <v>33802.342081167764</v>
      </c>
      <c r="H11" s="639">
        <f>huishoudens!G8</f>
        <v>0</v>
      </c>
      <c r="I11" s="639">
        <f>huishoudens!H8</f>
        <v>0</v>
      </c>
      <c r="J11" s="639">
        <f>huishoudens!I8</f>
        <v>0</v>
      </c>
      <c r="K11" s="639">
        <f>huishoudens!J8</f>
        <v>613.33171877751283</v>
      </c>
      <c r="L11" s="639">
        <f>huishoudens!K8</f>
        <v>0</v>
      </c>
      <c r="M11" s="639">
        <f>huishoudens!L8</f>
        <v>0</v>
      </c>
      <c r="N11" s="639">
        <f>huishoudens!M8</f>
        <v>0</v>
      </c>
      <c r="O11" s="639">
        <f>huishoudens!N8</f>
        <v>5108.0956602938759</v>
      </c>
      <c r="P11" s="639">
        <f>huishoudens!O8</f>
        <v>46.9</v>
      </c>
      <c r="Q11" s="640">
        <f>huishoudens!P8</f>
        <v>324.13333333333333</v>
      </c>
      <c r="R11" s="642">
        <f>SUM(C11:Q11)</f>
        <v>75465.805716637988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1147.758</v>
      </c>
      <c r="D13" s="639">
        <f>industrie!C18</f>
        <v>0</v>
      </c>
      <c r="E13" s="639">
        <f>industrie!D18</f>
        <v>752.32482600000003</v>
      </c>
      <c r="F13" s="639">
        <f>industrie!E18</f>
        <v>8.8491727344089615</v>
      </c>
      <c r="G13" s="639">
        <f>industrie!F18</f>
        <v>498.72268751088103</v>
      </c>
      <c r="H13" s="639">
        <f>industrie!G18</f>
        <v>0</v>
      </c>
      <c r="I13" s="639">
        <f>industrie!H18</f>
        <v>0</v>
      </c>
      <c r="J13" s="639">
        <f>industrie!I18</f>
        <v>0</v>
      </c>
      <c r="K13" s="639">
        <f>industrie!J18</f>
        <v>5.5812750170334073</v>
      </c>
      <c r="L13" s="639">
        <f>industrie!K18</f>
        <v>0</v>
      </c>
      <c r="M13" s="639">
        <f>industrie!L18</f>
        <v>0</v>
      </c>
      <c r="N13" s="639">
        <f>industrie!M18</f>
        <v>0</v>
      </c>
      <c r="O13" s="639">
        <f>industrie!N18</f>
        <v>48.397030611507063</v>
      </c>
      <c r="P13" s="639">
        <f>industrie!O18</f>
        <v>0</v>
      </c>
      <c r="Q13" s="640">
        <f>industrie!P18</f>
        <v>0</v>
      </c>
      <c r="R13" s="642">
        <f>SUM(C13:Q13)</f>
        <v>2461.6329918738306</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23984.035258815078</v>
      </c>
      <c r="D16" s="672">
        <f t="shared" ref="D16:R16" ca="1" si="0">SUM(D9:D15)</f>
        <v>0</v>
      </c>
      <c r="E16" s="672">
        <f t="shared" ca="1" si="0"/>
        <v>23996.377746000002</v>
      </c>
      <c r="F16" s="672">
        <f t="shared" si="0"/>
        <v>1164.6454592433029</v>
      </c>
      <c r="G16" s="672">
        <f t="shared" ca="1" si="0"/>
        <v>35771.852271803968</v>
      </c>
      <c r="H16" s="672">
        <f t="shared" si="0"/>
        <v>0</v>
      </c>
      <c r="I16" s="672">
        <f t="shared" si="0"/>
        <v>0</v>
      </c>
      <c r="J16" s="672">
        <f t="shared" si="0"/>
        <v>0</v>
      </c>
      <c r="K16" s="672">
        <f t="shared" si="0"/>
        <v>618.9129937945462</v>
      </c>
      <c r="L16" s="672">
        <f t="shared" si="0"/>
        <v>0</v>
      </c>
      <c r="M16" s="672">
        <f t="shared" ca="1" si="0"/>
        <v>0</v>
      </c>
      <c r="N16" s="672">
        <f t="shared" si="0"/>
        <v>0</v>
      </c>
      <c r="O16" s="672">
        <f t="shared" ca="1" si="0"/>
        <v>5911.9812383717453</v>
      </c>
      <c r="P16" s="672">
        <f t="shared" si="0"/>
        <v>46.9</v>
      </c>
      <c r="Q16" s="672">
        <f t="shared" si="0"/>
        <v>324.13333333333333</v>
      </c>
      <c r="R16" s="672">
        <f t="shared" ca="1" si="0"/>
        <v>91818.83830136199</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4.8067066896251838</v>
      </c>
      <c r="D19" s="639">
        <f>transport!C54</f>
        <v>0</v>
      </c>
      <c r="E19" s="639">
        <f>transport!D54</f>
        <v>0</v>
      </c>
      <c r="F19" s="639">
        <f>transport!E54</f>
        <v>0</v>
      </c>
      <c r="G19" s="639">
        <f>transport!F54</f>
        <v>0</v>
      </c>
      <c r="H19" s="639">
        <f>transport!G54</f>
        <v>958.70715253630442</v>
      </c>
      <c r="I19" s="639">
        <f>transport!H54</f>
        <v>0</v>
      </c>
      <c r="J19" s="639">
        <f>transport!I54</f>
        <v>0</v>
      </c>
      <c r="K19" s="639">
        <f>transport!J54</f>
        <v>0</v>
      </c>
      <c r="L19" s="639">
        <f>transport!K54</f>
        <v>0</v>
      </c>
      <c r="M19" s="639">
        <f>transport!L54</f>
        <v>0</v>
      </c>
      <c r="N19" s="639">
        <f>transport!M54</f>
        <v>42.373835077834201</v>
      </c>
      <c r="O19" s="639">
        <f>transport!N54</f>
        <v>0</v>
      </c>
      <c r="P19" s="639">
        <f>transport!O54</f>
        <v>0</v>
      </c>
      <c r="Q19" s="640">
        <f>transport!P54</f>
        <v>0</v>
      </c>
      <c r="R19" s="642">
        <f>SUM(C19:Q19)</f>
        <v>1005.8876943037639</v>
      </c>
      <c r="S19" s="68"/>
    </row>
    <row r="20" spans="1:19" s="443" customFormat="1">
      <c r="A20" s="753" t="s">
        <v>296</v>
      </c>
      <c r="B20" s="758"/>
      <c r="C20" s="639">
        <f>transport!B14</f>
        <v>2.9650421936646829</v>
      </c>
      <c r="D20" s="639">
        <f>transport!C14</f>
        <v>0</v>
      </c>
      <c r="E20" s="639">
        <f>transport!D14</f>
        <v>3.8163795200473327</v>
      </c>
      <c r="F20" s="639">
        <f>transport!E14</f>
        <v>242.65814541938178</v>
      </c>
      <c r="G20" s="639">
        <f>transport!F14</f>
        <v>0</v>
      </c>
      <c r="H20" s="639">
        <f>transport!G14</f>
        <v>51411.694078423803</v>
      </c>
      <c r="I20" s="639">
        <f>transport!H14</f>
        <v>9696.2809267658631</v>
      </c>
      <c r="J20" s="639">
        <f>transport!I14</f>
        <v>0</v>
      </c>
      <c r="K20" s="639">
        <f>transport!J14</f>
        <v>0</v>
      </c>
      <c r="L20" s="639">
        <f>transport!K14</f>
        <v>0</v>
      </c>
      <c r="M20" s="639">
        <f>transport!L14</f>
        <v>0</v>
      </c>
      <c r="N20" s="639">
        <f>transport!M14</f>
        <v>2731.7403942247583</v>
      </c>
      <c r="O20" s="639">
        <f>transport!N14</f>
        <v>0</v>
      </c>
      <c r="P20" s="639">
        <f>transport!O14</f>
        <v>0</v>
      </c>
      <c r="Q20" s="640">
        <f>transport!P14</f>
        <v>0</v>
      </c>
      <c r="R20" s="642">
        <f>SUM(C20:Q20)</f>
        <v>64089.154966547518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7.7717488832898667</v>
      </c>
      <c r="D22" s="756">
        <f t="shared" ref="D22:R22" si="1">SUM(D18:D21)</f>
        <v>0</v>
      </c>
      <c r="E22" s="756">
        <f t="shared" si="1"/>
        <v>3.8163795200473327</v>
      </c>
      <c r="F22" s="756">
        <f t="shared" si="1"/>
        <v>242.65814541938178</v>
      </c>
      <c r="G22" s="756">
        <f t="shared" si="1"/>
        <v>0</v>
      </c>
      <c r="H22" s="756">
        <f t="shared" si="1"/>
        <v>52370.401230960109</v>
      </c>
      <c r="I22" s="756">
        <f t="shared" si="1"/>
        <v>9696.2809267658631</v>
      </c>
      <c r="J22" s="756">
        <f t="shared" si="1"/>
        <v>0</v>
      </c>
      <c r="K22" s="756">
        <f t="shared" si="1"/>
        <v>0</v>
      </c>
      <c r="L22" s="756">
        <f t="shared" si="1"/>
        <v>0</v>
      </c>
      <c r="M22" s="756">
        <f t="shared" si="1"/>
        <v>0</v>
      </c>
      <c r="N22" s="756">
        <f t="shared" si="1"/>
        <v>2774.1142293025923</v>
      </c>
      <c r="O22" s="756">
        <f t="shared" si="1"/>
        <v>0</v>
      </c>
      <c r="P22" s="756">
        <f t="shared" si="1"/>
        <v>0</v>
      </c>
      <c r="Q22" s="756">
        <f t="shared" si="1"/>
        <v>0</v>
      </c>
      <c r="R22" s="756">
        <f t="shared" si="1"/>
        <v>65095.042660851279</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1816.902</v>
      </c>
      <c r="D24" s="639">
        <f>+landbouw!C8</f>
        <v>15887.045454545454</v>
      </c>
      <c r="E24" s="639">
        <f>+landbouw!D8</f>
        <v>120.19548327272726</v>
      </c>
      <c r="F24" s="639">
        <f>+landbouw!E8</f>
        <v>17.942237941437408</v>
      </c>
      <c r="G24" s="639">
        <f>+landbouw!F8</f>
        <v>6061.6658205791782</v>
      </c>
      <c r="H24" s="639">
        <f>+landbouw!G8</f>
        <v>0</v>
      </c>
      <c r="I24" s="639">
        <f>+landbouw!H8</f>
        <v>0</v>
      </c>
      <c r="J24" s="639">
        <f>+landbouw!I8</f>
        <v>0</v>
      </c>
      <c r="K24" s="639">
        <f>+landbouw!J8</f>
        <v>181.27167271156344</v>
      </c>
      <c r="L24" s="639">
        <f>+landbouw!K8</f>
        <v>0</v>
      </c>
      <c r="M24" s="639">
        <f>+landbouw!L8</f>
        <v>0</v>
      </c>
      <c r="N24" s="639">
        <f>+landbouw!M8</f>
        <v>0</v>
      </c>
      <c r="O24" s="639">
        <f>+landbouw!N8</f>
        <v>0</v>
      </c>
      <c r="P24" s="639">
        <f>+landbouw!O8</f>
        <v>0</v>
      </c>
      <c r="Q24" s="640">
        <f>+landbouw!P8</f>
        <v>0</v>
      </c>
      <c r="R24" s="642">
        <f>SUM(C24:Q24)</f>
        <v>24085.022669050362</v>
      </c>
      <c r="S24" s="68"/>
    </row>
    <row r="25" spans="1:19" s="443" customFormat="1" ht="15" thickBot="1">
      <c r="A25" s="775" t="s">
        <v>847</v>
      </c>
      <c r="B25" s="941"/>
      <c r="C25" s="942">
        <f>IF(Onbekend_ele_kWh="---",0,Onbekend_ele_kWh)/1000+IF(REST_rest_ele_kWh="---",0,REST_rest_ele_kWh)/1000</f>
        <v>294.89499999999998</v>
      </c>
      <c r="D25" s="942"/>
      <c r="E25" s="942">
        <f>IF(onbekend_gas_kWh="---",0,onbekend_gas_kWh)/1000+IF(REST_rest_gas_kWh="---",0,REST_rest_gas_kWh)/1000</f>
        <v>1352.1179999999999</v>
      </c>
      <c r="F25" s="942"/>
      <c r="G25" s="942"/>
      <c r="H25" s="942"/>
      <c r="I25" s="942"/>
      <c r="J25" s="942"/>
      <c r="K25" s="942"/>
      <c r="L25" s="942"/>
      <c r="M25" s="942"/>
      <c r="N25" s="942"/>
      <c r="O25" s="942"/>
      <c r="P25" s="942"/>
      <c r="Q25" s="943"/>
      <c r="R25" s="642">
        <f>SUM(C25:Q25)</f>
        <v>1647.0129999999999</v>
      </c>
      <c r="S25" s="68"/>
    </row>
    <row r="26" spans="1:19" s="443" customFormat="1" ht="15.75" thickBot="1">
      <c r="A26" s="645" t="s">
        <v>848</v>
      </c>
      <c r="B26" s="761"/>
      <c r="C26" s="756">
        <f>SUM(C24:C25)</f>
        <v>2111.797</v>
      </c>
      <c r="D26" s="756">
        <f t="shared" ref="D26:R26" si="2">SUM(D24:D25)</f>
        <v>15887.045454545454</v>
      </c>
      <c r="E26" s="756">
        <f t="shared" si="2"/>
        <v>1472.3134832727271</v>
      </c>
      <c r="F26" s="756">
        <f t="shared" si="2"/>
        <v>17.942237941437408</v>
      </c>
      <c r="G26" s="756">
        <f t="shared" si="2"/>
        <v>6061.6658205791782</v>
      </c>
      <c r="H26" s="756">
        <f t="shared" si="2"/>
        <v>0</v>
      </c>
      <c r="I26" s="756">
        <f t="shared" si="2"/>
        <v>0</v>
      </c>
      <c r="J26" s="756">
        <f t="shared" si="2"/>
        <v>0</v>
      </c>
      <c r="K26" s="756">
        <f t="shared" si="2"/>
        <v>181.27167271156344</v>
      </c>
      <c r="L26" s="756">
        <f t="shared" si="2"/>
        <v>0</v>
      </c>
      <c r="M26" s="756">
        <f t="shared" si="2"/>
        <v>0</v>
      </c>
      <c r="N26" s="756">
        <f t="shared" si="2"/>
        <v>0</v>
      </c>
      <c r="O26" s="756">
        <f t="shared" si="2"/>
        <v>0</v>
      </c>
      <c r="P26" s="756">
        <f t="shared" si="2"/>
        <v>0</v>
      </c>
      <c r="Q26" s="756">
        <f t="shared" si="2"/>
        <v>0</v>
      </c>
      <c r="R26" s="756">
        <f t="shared" si="2"/>
        <v>25732.035669050361</v>
      </c>
      <c r="S26" s="68"/>
    </row>
    <row r="27" spans="1:19" s="443" customFormat="1" ht="17.25" thickTop="1" thickBot="1">
      <c r="A27" s="646" t="s">
        <v>109</v>
      </c>
      <c r="B27" s="748"/>
      <c r="C27" s="647">
        <f ca="1">C22+C16+C26</f>
        <v>26103.604007698366</v>
      </c>
      <c r="D27" s="647">
        <f t="shared" ref="D27:R27" ca="1" si="3">D22+D16+D26</f>
        <v>15887.045454545454</v>
      </c>
      <c r="E27" s="647">
        <f t="shared" ca="1" si="3"/>
        <v>25472.507608792777</v>
      </c>
      <c r="F27" s="647">
        <f t="shared" si="3"/>
        <v>1425.2458426041221</v>
      </c>
      <c r="G27" s="647">
        <f t="shared" ca="1" si="3"/>
        <v>41833.518092383143</v>
      </c>
      <c r="H27" s="647">
        <f t="shared" si="3"/>
        <v>52370.401230960109</v>
      </c>
      <c r="I27" s="647">
        <f t="shared" si="3"/>
        <v>9696.2809267658631</v>
      </c>
      <c r="J27" s="647">
        <f t="shared" si="3"/>
        <v>0</v>
      </c>
      <c r="K27" s="647">
        <f t="shared" si="3"/>
        <v>800.18466650610958</v>
      </c>
      <c r="L27" s="647">
        <f t="shared" si="3"/>
        <v>0</v>
      </c>
      <c r="M27" s="647">
        <f t="shared" ca="1" si="3"/>
        <v>0</v>
      </c>
      <c r="N27" s="647">
        <f t="shared" si="3"/>
        <v>2774.1142293025923</v>
      </c>
      <c r="O27" s="647">
        <f t="shared" ca="1" si="3"/>
        <v>5911.9812383717453</v>
      </c>
      <c r="P27" s="647">
        <f t="shared" si="3"/>
        <v>46.9</v>
      </c>
      <c r="Q27" s="647">
        <f t="shared" si="3"/>
        <v>324.13333333333333</v>
      </c>
      <c r="R27" s="647">
        <f t="shared" ca="1" si="3"/>
        <v>182645.91663126362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753.60338203369361</v>
      </c>
      <c r="D40" s="639">
        <f ca="1">tertiair!C20</f>
        <v>0</v>
      </c>
      <c r="E40" s="639">
        <f ca="1">tertiair!D20</f>
        <v>865.49906366000005</v>
      </c>
      <c r="F40" s="639">
        <f>tertiair!E20</f>
        <v>10.681192682674272</v>
      </c>
      <c r="G40" s="639">
        <f ca="1">tertiair!F20</f>
        <v>392.70026333446117</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2022.4839017108291</v>
      </c>
    </row>
    <row r="41" spans="1:18">
      <c r="A41" s="766" t="s">
        <v>214</v>
      </c>
      <c r="B41" s="773"/>
      <c r="C41" s="639">
        <f ca="1">huishoudens!B12</f>
        <v>1593.1179878838614</v>
      </c>
      <c r="D41" s="639">
        <f ca="1">huishoudens!C12</f>
        <v>0</v>
      </c>
      <c r="E41" s="639">
        <f>huishoudens!D12</f>
        <v>3829.7996261800004</v>
      </c>
      <c r="F41" s="639">
        <f>huishoudens!E12</f>
        <v>251.68456435484467</v>
      </c>
      <c r="G41" s="639">
        <f>huishoudens!F12</f>
        <v>9025.2253356717938</v>
      </c>
      <c r="H41" s="639">
        <f>huishoudens!G12</f>
        <v>0</v>
      </c>
      <c r="I41" s="639">
        <f>huishoudens!H12</f>
        <v>0</v>
      </c>
      <c r="J41" s="639">
        <f>huishoudens!I12</f>
        <v>0</v>
      </c>
      <c r="K41" s="639">
        <f>huishoudens!J12</f>
        <v>217.11942844723953</v>
      </c>
      <c r="L41" s="639">
        <f>huishoudens!K12</f>
        <v>0</v>
      </c>
      <c r="M41" s="639">
        <f>huishoudens!L12</f>
        <v>0</v>
      </c>
      <c r="N41" s="639">
        <f>huishoudens!M12</f>
        <v>0</v>
      </c>
      <c r="O41" s="639">
        <f>huishoudens!N12</f>
        <v>0</v>
      </c>
      <c r="P41" s="639">
        <f>huishoudens!O12</f>
        <v>0</v>
      </c>
      <c r="Q41" s="714">
        <f>huishoudens!P12</f>
        <v>0</v>
      </c>
      <c r="R41" s="794">
        <f t="shared" ca="1" si="4"/>
        <v>14916.946942537741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117.94690507421134</v>
      </c>
      <c r="D43" s="639">
        <f ca="1">industrie!C22</f>
        <v>0</v>
      </c>
      <c r="E43" s="639">
        <f>industrie!D22</f>
        <v>151.96961485200001</v>
      </c>
      <c r="F43" s="639">
        <f>industrie!E22</f>
        <v>2.0087622107108345</v>
      </c>
      <c r="G43" s="639">
        <f>industrie!F22</f>
        <v>133.15895756540525</v>
      </c>
      <c r="H43" s="639">
        <f>industrie!G22</f>
        <v>0</v>
      </c>
      <c r="I43" s="639">
        <f>industrie!H22</f>
        <v>0</v>
      </c>
      <c r="J43" s="639">
        <f>industrie!I22</f>
        <v>0</v>
      </c>
      <c r="K43" s="639">
        <f>industrie!J22</f>
        <v>1.975771356029826</v>
      </c>
      <c r="L43" s="639">
        <f>industrie!K22</f>
        <v>0</v>
      </c>
      <c r="M43" s="639">
        <f>industrie!L22</f>
        <v>0</v>
      </c>
      <c r="N43" s="639">
        <f>industrie!M22</f>
        <v>0</v>
      </c>
      <c r="O43" s="639">
        <f>industrie!N22</f>
        <v>0</v>
      </c>
      <c r="P43" s="639">
        <f>industrie!O22</f>
        <v>0</v>
      </c>
      <c r="Q43" s="714">
        <f>industrie!P22</f>
        <v>0</v>
      </c>
      <c r="R43" s="793">
        <f t="shared" ca="1" si="4"/>
        <v>407.06001105835725</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2464.6682749917663</v>
      </c>
      <c r="D46" s="672">
        <f t="shared" ref="D46:Q46" ca="1" si="5">SUM(D39:D45)</f>
        <v>0</v>
      </c>
      <c r="E46" s="672">
        <f t="shared" ca="1" si="5"/>
        <v>4847.2683046920001</v>
      </c>
      <c r="F46" s="672">
        <f t="shared" si="5"/>
        <v>264.37451924822977</v>
      </c>
      <c r="G46" s="672">
        <f t="shared" ca="1" si="5"/>
        <v>9551.0845565716609</v>
      </c>
      <c r="H46" s="672">
        <f t="shared" si="5"/>
        <v>0</v>
      </c>
      <c r="I46" s="672">
        <f t="shared" si="5"/>
        <v>0</v>
      </c>
      <c r="J46" s="672">
        <f t="shared" si="5"/>
        <v>0</v>
      </c>
      <c r="K46" s="672">
        <f t="shared" si="5"/>
        <v>219.09519980326937</v>
      </c>
      <c r="L46" s="672">
        <f t="shared" si="5"/>
        <v>0</v>
      </c>
      <c r="M46" s="672">
        <f t="shared" ca="1" si="5"/>
        <v>0</v>
      </c>
      <c r="N46" s="672">
        <f t="shared" si="5"/>
        <v>0</v>
      </c>
      <c r="O46" s="672">
        <f t="shared" ca="1" si="5"/>
        <v>0</v>
      </c>
      <c r="P46" s="672">
        <f t="shared" si="5"/>
        <v>0</v>
      </c>
      <c r="Q46" s="672">
        <f t="shared" si="5"/>
        <v>0</v>
      </c>
      <c r="R46" s="672">
        <f ca="1">SUM(R39:R45)</f>
        <v>17346.490855306929</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0.49395097018779066</v>
      </c>
      <c r="D49" s="639">
        <f ca="1">transport!C58</f>
        <v>0</v>
      </c>
      <c r="E49" s="639">
        <f>transport!D58</f>
        <v>0</v>
      </c>
      <c r="F49" s="639">
        <f>transport!E58</f>
        <v>0</v>
      </c>
      <c r="G49" s="639">
        <f>transport!F58</f>
        <v>0</v>
      </c>
      <c r="H49" s="639">
        <f>transport!G58</f>
        <v>255.9748097271933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256.46876069738107</v>
      </c>
    </row>
    <row r="50" spans="1:18">
      <c r="A50" s="769" t="s">
        <v>296</v>
      </c>
      <c r="B50" s="779"/>
      <c r="C50" s="948">
        <f ca="1">transport!B18</f>
        <v>0.30469624272468565</v>
      </c>
      <c r="D50" s="948">
        <f>transport!C18</f>
        <v>0</v>
      </c>
      <c r="E50" s="948">
        <f>transport!D18</f>
        <v>0.77090866304956129</v>
      </c>
      <c r="F50" s="948">
        <f>transport!E18</f>
        <v>55.083399010199663</v>
      </c>
      <c r="G50" s="948">
        <f>transport!F18</f>
        <v>0</v>
      </c>
      <c r="H50" s="948">
        <f>transport!G18</f>
        <v>13726.922318939156</v>
      </c>
      <c r="I50" s="948">
        <f>transport!H18</f>
        <v>2414.3739507647001</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16197.455273619831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0.79864721291247631</v>
      </c>
      <c r="D52" s="672">
        <f t="shared" ref="D52:Q52" ca="1" si="6">SUM(D48:D51)</f>
        <v>0</v>
      </c>
      <c r="E52" s="672">
        <f t="shared" si="6"/>
        <v>0.77090866304956129</v>
      </c>
      <c r="F52" s="672">
        <f t="shared" si="6"/>
        <v>55.083399010199663</v>
      </c>
      <c r="G52" s="672">
        <f t="shared" si="6"/>
        <v>0</v>
      </c>
      <c r="H52" s="672">
        <f t="shared" si="6"/>
        <v>13982.897128666349</v>
      </c>
      <c r="I52" s="672">
        <f t="shared" si="6"/>
        <v>2414.3739507647001</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16453.924034317213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186.71006233295236</v>
      </c>
      <c r="D54" s="948">
        <f ca="1">+landbouw!C12</f>
        <v>0.32407644312002287</v>
      </c>
      <c r="E54" s="948">
        <f>+landbouw!D12</f>
        <v>24.279487621090908</v>
      </c>
      <c r="F54" s="948">
        <f>+landbouw!E12</f>
        <v>4.0728880127062919</v>
      </c>
      <c r="G54" s="948">
        <f>+landbouw!F12</f>
        <v>1618.4647740946407</v>
      </c>
      <c r="H54" s="948">
        <f>+landbouw!G12</f>
        <v>0</v>
      </c>
      <c r="I54" s="948">
        <f>+landbouw!H12</f>
        <v>0</v>
      </c>
      <c r="J54" s="948">
        <f>+landbouw!I12</f>
        <v>0</v>
      </c>
      <c r="K54" s="948">
        <f>+landbouw!J12</f>
        <v>64.170172139893452</v>
      </c>
      <c r="L54" s="948">
        <f>+landbouw!K12</f>
        <v>0</v>
      </c>
      <c r="M54" s="948">
        <f>+landbouw!L12</f>
        <v>0</v>
      </c>
      <c r="N54" s="948">
        <f>+landbouw!M12</f>
        <v>0</v>
      </c>
      <c r="O54" s="948">
        <f>+landbouw!N12</f>
        <v>0</v>
      </c>
      <c r="P54" s="948">
        <f>+landbouw!O12</f>
        <v>0</v>
      </c>
      <c r="Q54" s="949">
        <f>+landbouw!P12</f>
        <v>0</v>
      </c>
      <c r="R54" s="671">
        <f ca="1">SUM(C54:Q54)</f>
        <v>1898.0214606444038</v>
      </c>
    </row>
    <row r="55" spans="1:18" ht="15" thickBot="1">
      <c r="A55" s="769" t="s">
        <v>847</v>
      </c>
      <c r="B55" s="779"/>
      <c r="C55" s="948">
        <f ca="1">C25*'EF ele_warmte'!B12</f>
        <v>30.304256273412648</v>
      </c>
      <c r="D55" s="948"/>
      <c r="E55" s="948">
        <f>E25*EF_CO2_aardgas</f>
        <v>273.127836</v>
      </c>
      <c r="F55" s="948"/>
      <c r="G55" s="948"/>
      <c r="H55" s="948"/>
      <c r="I55" s="948"/>
      <c r="J55" s="948"/>
      <c r="K55" s="948"/>
      <c r="L55" s="948"/>
      <c r="M55" s="948"/>
      <c r="N55" s="948"/>
      <c r="O55" s="948"/>
      <c r="P55" s="948"/>
      <c r="Q55" s="949"/>
      <c r="R55" s="671">
        <f ca="1">SUM(C55:Q55)</f>
        <v>303.43209227341265</v>
      </c>
    </row>
    <row r="56" spans="1:18" ht="15.75" thickBot="1">
      <c r="A56" s="767" t="s">
        <v>848</v>
      </c>
      <c r="B56" s="780"/>
      <c r="C56" s="672">
        <f ca="1">SUM(C54:C55)</f>
        <v>217.01431860636501</v>
      </c>
      <c r="D56" s="672">
        <f t="shared" ref="D56:Q56" ca="1" si="7">SUM(D54:D55)</f>
        <v>0.32407644312002287</v>
      </c>
      <c r="E56" s="672">
        <f t="shared" si="7"/>
        <v>297.40732362109088</v>
      </c>
      <c r="F56" s="672">
        <f t="shared" si="7"/>
        <v>4.0728880127062919</v>
      </c>
      <c r="G56" s="672">
        <f t="shared" si="7"/>
        <v>1618.4647740946407</v>
      </c>
      <c r="H56" s="672">
        <f t="shared" si="7"/>
        <v>0</v>
      </c>
      <c r="I56" s="672">
        <f t="shared" si="7"/>
        <v>0</v>
      </c>
      <c r="J56" s="672">
        <f t="shared" si="7"/>
        <v>0</v>
      </c>
      <c r="K56" s="672">
        <f t="shared" si="7"/>
        <v>64.170172139893452</v>
      </c>
      <c r="L56" s="672">
        <f t="shared" si="7"/>
        <v>0</v>
      </c>
      <c r="M56" s="672">
        <f t="shared" si="7"/>
        <v>0</v>
      </c>
      <c r="N56" s="672">
        <f t="shared" si="7"/>
        <v>0</v>
      </c>
      <c r="O56" s="672">
        <f t="shared" si="7"/>
        <v>0</v>
      </c>
      <c r="P56" s="672">
        <f t="shared" si="7"/>
        <v>0</v>
      </c>
      <c r="Q56" s="673">
        <f t="shared" si="7"/>
        <v>0</v>
      </c>
      <c r="R56" s="674">
        <f ca="1">SUM(R54:R55)</f>
        <v>2201.4535529178165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2682.4812408110438</v>
      </c>
      <c r="D61" s="680">
        <f t="shared" ref="D61:Q61" ca="1" si="8">D46+D52+D56</f>
        <v>0.32407644312002287</v>
      </c>
      <c r="E61" s="680">
        <f t="shared" ca="1" si="8"/>
        <v>5145.4465369761401</v>
      </c>
      <c r="F61" s="680">
        <f t="shared" si="8"/>
        <v>323.53080627113576</v>
      </c>
      <c r="G61" s="680">
        <f t="shared" ca="1" si="8"/>
        <v>11169.549330666301</v>
      </c>
      <c r="H61" s="680">
        <f t="shared" si="8"/>
        <v>13982.897128666349</v>
      </c>
      <c r="I61" s="680">
        <f t="shared" si="8"/>
        <v>2414.3739507647001</v>
      </c>
      <c r="J61" s="680">
        <f t="shared" si="8"/>
        <v>0</v>
      </c>
      <c r="K61" s="680">
        <f t="shared" si="8"/>
        <v>283.26537194316279</v>
      </c>
      <c r="L61" s="680">
        <f t="shared" si="8"/>
        <v>0</v>
      </c>
      <c r="M61" s="680">
        <f t="shared" ca="1" si="8"/>
        <v>0</v>
      </c>
      <c r="N61" s="680">
        <f t="shared" si="8"/>
        <v>0</v>
      </c>
      <c r="O61" s="680">
        <f t="shared" ca="1" si="8"/>
        <v>0</v>
      </c>
      <c r="P61" s="680">
        <f t="shared" si="8"/>
        <v>0</v>
      </c>
      <c r="Q61" s="680">
        <f t="shared" si="8"/>
        <v>0</v>
      </c>
      <c r="R61" s="680">
        <f ca="1">R46+R52+R56</f>
        <v>36001.868442541956</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0.10276286906665982</v>
      </c>
      <c r="D63" s="724">
        <f t="shared" ca="1" si="9"/>
        <v>2.0398786171238725E-5</v>
      </c>
      <c r="E63" s="950">
        <f t="shared" ca="1" si="9"/>
        <v>0.20199999999999996</v>
      </c>
      <c r="F63" s="724">
        <f t="shared" si="9"/>
        <v>0.22700000000000004</v>
      </c>
      <c r="G63" s="724">
        <f t="shared" ca="1" si="9"/>
        <v>0.26700000000000007</v>
      </c>
      <c r="H63" s="724">
        <f t="shared" si="9"/>
        <v>0.26700000000000002</v>
      </c>
      <c r="I63" s="724">
        <f t="shared" si="9"/>
        <v>0.24900000000000003</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2846.7971422949113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11118.954592274678</v>
      </c>
      <c r="C76" s="690">
        <f>'lokale energieproductie'!B8*IFERROR(SUM(D76:H76)/SUM(D76:O76),0)</f>
        <v>0.95449863441279736</v>
      </c>
      <c r="D76" s="960">
        <f>'lokale energieproductie'!C8</f>
        <v>1.1229338999458818</v>
      </c>
      <c r="E76" s="961">
        <f>'lokale energieproductie'!D8</f>
        <v>0</v>
      </c>
      <c r="F76" s="961">
        <f>'lokale energieproductie'!E8</f>
        <v>0</v>
      </c>
      <c r="G76" s="961">
        <f>'lokale energieproductie'!F8</f>
        <v>0</v>
      </c>
      <c r="H76" s="961">
        <f>'lokale energieproductie'!G8</f>
        <v>0</v>
      </c>
      <c r="I76" s="961">
        <f>'lokale energieproductie'!I8</f>
        <v>0</v>
      </c>
      <c r="J76" s="961">
        <f>'lokale energieproductie'!J8</f>
        <v>13081.057000469578</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0.22683264778906814</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13965.751734569589</v>
      </c>
      <c r="C78" s="695">
        <f>SUM(C72:C77)</f>
        <v>0.95449863441279736</v>
      </c>
      <c r="D78" s="696">
        <f t="shared" ref="D78:H78" si="10">SUM(D76:D77)</f>
        <v>1.1229338999458818</v>
      </c>
      <c r="E78" s="696">
        <f t="shared" si="10"/>
        <v>0</v>
      </c>
      <c r="F78" s="696">
        <f t="shared" si="10"/>
        <v>0</v>
      </c>
      <c r="G78" s="696">
        <f t="shared" si="10"/>
        <v>0</v>
      </c>
      <c r="H78" s="696">
        <f t="shared" si="10"/>
        <v>0</v>
      </c>
      <c r="I78" s="696">
        <f>SUM(I76:I77)</f>
        <v>0</v>
      </c>
      <c r="J78" s="696">
        <f>SUM(J76:J77)</f>
        <v>13081.057000469578</v>
      </c>
      <c r="K78" s="696">
        <f t="shared" ref="K78:L78" si="11">SUM(K76:K77)</f>
        <v>0</v>
      </c>
      <c r="L78" s="696">
        <f t="shared" si="11"/>
        <v>0</v>
      </c>
      <c r="M78" s="696">
        <f>SUM(M76:M77)</f>
        <v>0</v>
      </c>
      <c r="N78" s="696">
        <f>SUM(N76:N77)</f>
        <v>0</v>
      </c>
      <c r="O78" s="804">
        <f>SUM(O76:O77)</f>
        <v>0</v>
      </c>
      <c r="P78" s="697">
        <v>0</v>
      </c>
      <c r="Q78" s="697">
        <f>SUM(Q76:Q77)</f>
        <v>0.22683264778906814</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15885.681759656651</v>
      </c>
      <c r="C87" s="706">
        <f>'lokale energieproductie'!B17*IFERROR(SUM(D87:H87)/SUM(D87:O87),0)</f>
        <v>1.3636948888021847</v>
      </c>
      <c r="D87" s="717">
        <f>'lokale energieproductie'!C17</f>
        <v>1.6043388273268457</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18688.942999530427</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0.32407644312002287</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15885.681759656651</v>
      </c>
      <c r="C90" s="695">
        <f>SUM(C87:C89)</f>
        <v>1.3636948888021847</v>
      </c>
      <c r="D90" s="695">
        <f t="shared" ref="D90:H90" si="12">SUM(D87:D89)</f>
        <v>1.6043388273268457</v>
      </c>
      <c r="E90" s="695">
        <f t="shared" si="12"/>
        <v>0</v>
      </c>
      <c r="F90" s="695">
        <f t="shared" si="12"/>
        <v>0</v>
      </c>
      <c r="G90" s="695">
        <f t="shared" si="12"/>
        <v>0</v>
      </c>
      <c r="H90" s="695">
        <f t="shared" si="12"/>
        <v>0</v>
      </c>
      <c r="I90" s="695">
        <f>SUM(I87:I89)</f>
        <v>0</v>
      </c>
      <c r="J90" s="695">
        <f>SUM(J87:J89)</f>
        <v>18688.942999530427</v>
      </c>
      <c r="K90" s="695">
        <f t="shared" ref="K90:L90" si="13">SUM(K87:K89)</f>
        <v>0</v>
      </c>
      <c r="L90" s="695">
        <f t="shared" si="13"/>
        <v>0</v>
      </c>
      <c r="M90" s="695">
        <f>SUM(M87:M89)</f>
        <v>0</v>
      </c>
      <c r="N90" s="695">
        <f>SUM(N87:N89)</f>
        <v>0</v>
      </c>
      <c r="O90" s="695">
        <f>SUM(O87:O89)</f>
        <v>0</v>
      </c>
      <c r="P90" s="695">
        <v>0</v>
      </c>
      <c r="Q90" s="695">
        <f>SUM(Q87:Q89)</f>
        <v>0.32407644312002287</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15502.856258815076</v>
      </c>
      <c r="C4" s="447">
        <f>huishoudens!C8</f>
        <v>0</v>
      </c>
      <c r="D4" s="447">
        <f>huishoudens!D8</f>
        <v>18959.40409</v>
      </c>
      <c r="E4" s="447">
        <f>huishoudens!E8</f>
        <v>1108.742574250417</v>
      </c>
      <c r="F4" s="447">
        <f>huishoudens!F8</f>
        <v>33802.342081167764</v>
      </c>
      <c r="G4" s="447">
        <f>huishoudens!G8</f>
        <v>0</v>
      </c>
      <c r="H4" s="447">
        <f>huishoudens!H8</f>
        <v>0</v>
      </c>
      <c r="I4" s="447">
        <f>huishoudens!I8</f>
        <v>0</v>
      </c>
      <c r="J4" s="447">
        <f>huishoudens!J8</f>
        <v>613.33171877751283</v>
      </c>
      <c r="K4" s="447">
        <f>huishoudens!K8</f>
        <v>0</v>
      </c>
      <c r="L4" s="447">
        <f>huishoudens!L8</f>
        <v>0</v>
      </c>
      <c r="M4" s="447">
        <f>huishoudens!M8</f>
        <v>0</v>
      </c>
      <c r="N4" s="447">
        <f>huishoudens!N8</f>
        <v>5108.0956602938759</v>
      </c>
      <c r="O4" s="447">
        <f>huishoudens!O8</f>
        <v>46.9</v>
      </c>
      <c r="P4" s="448">
        <f>huishoudens!P8</f>
        <v>324.13333333333333</v>
      </c>
      <c r="Q4" s="449">
        <f>SUM(B4:P4)</f>
        <v>75465.805716637988</v>
      </c>
    </row>
    <row r="5" spans="1:17">
      <c r="A5" s="446" t="s">
        <v>149</v>
      </c>
      <c r="B5" s="447">
        <f ca="1">tertiair!B16</f>
        <v>6878.0250000000005</v>
      </c>
      <c r="C5" s="447">
        <f ca="1">tertiair!C16</f>
        <v>0</v>
      </c>
      <c r="D5" s="447">
        <f ca="1">tertiair!D16</f>
        <v>4284.6488300000001</v>
      </c>
      <c r="E5" s="447">
        <f>tertiair!E16</f>
        <v>47.05371225847697</v>
      </c>
      <c r="F5" s="447">
        <f ca="1">tertiair!F16</f>
        <v>1470.7875031253227</v>
      </c>
      <c r="G5" s="447">
        <f>tertiair!G16</f>
        <v>0</v>
      </c>
      <c r="H5" s="447">
        <f>tertiair!H16</f>
        <v>0</v>
      </c>
      <c r="I5" s="447">
        <f>tertiair!I16</f>
        <v>0</v>
      </c>
      <c r="J5" s="447">
        <f>tertiair!J16</f>
        <v>0</v>
      </c>
      <c r="K5" s="447">
        <f>tertiair!K16</f>
        <v>0</v>
      </c>
      <c r="L5" s="447">
        <f ca="1">tertiair!L16</f>
        <v>0</v>
      </c>
      <c r="M5" s="447">
        <f>tertiair!M16</f>
        <v>0</v>
      </c>
      <c r="N5" s="447">
        <f ca="1">tertiair!N16</f>
        <v>755.48854746636255</v>
      </c>
      <c r="O5" s="447">
        <f>tertiair!O16</f>
        <v>0</v>
      </c>
      <c r="P5" s="448">
        <f>tertiair!P16</f>
        <v>0</v>
      </c>
      <c r="Q5" s="446">
        <f t="shared" ref="Q5:Q14" ca="1" si="0">SUM(B5:P5)</f>
        <v>13436.003592850162</v>
      </c>
    </row>
    <row r="6" spans="1:17">
      <c r="A6" s="446" t="s">
        <v>187</v>
      </c>
      <c r="B6" s="447">
        <f>'openbare verlichting'!B8</f>
        <v>455.39600000000002</v>
      </c>
      <c r="C6" s="447"/>
      <c r="D6" s="447"/>
      <c r="E6" s="447"/>
      <c r="F6" s="447"/>
      <c r="G6" s="447"/>
      <c r="H6" s="447"/>
      <c r="I6" s="447"/>
      <c r="J6" s="447"/>
      <c r="K6" s="447"/>
      <c r="L6" s="447"/>
      <c r="M6" s="447"/>
      <c r="N6" s="447"/>
      <c r="O6" s="447"/>
      <c r="P6" s="448"/>
      <c r="Q6" s="446">
        <f t="shared" si="0"/>
        <v>455.39600000000002</v>
      </c>
    </row>
    <row r="7" spans="1:17">
      <c r="A7" s="446" t="s">
        <v>105</v>
      </c>
      <c r="B7" s="447">
        <f>landbouw!B8</f>
        <v>1816.902</v>
      </c>
      <c r="C7" s="447">
        <f>landbouw!C8</f>
        <v>15887.045454545454</v>
      </c>
      <c r="D7" s="447">
        <f>landbouw!D8</f>
        <v>120.19548327272726</v>
      </c>
      <c r="E7" s="447">
        <f>landbouw!E8</f>
        <v>17.942237941437408</v>
      </c>
      <c r="F7" s="447">
        <f>landbouw!F8</f>
        <v>6061.6658205791782</v>
      </c>
      <c r="G7" s="447">
        <f>landbouw!G8</f>
        <v>0</v>
      </c>
      <c r="H7" s="447">
        <f>landbouw!H8</f>
        <v>0</v>
      </c>
      <c r="I7" s="447">
        <f>landbouw!I8</f>
        <v>0</v>
      </c>
      <c r="J7" s="447">
        <f>landbouw!J8</f>
        <v>181.27167271156344</v>
      </c>
      <c r="K7" s="447">
        <f>landbouw!K8</f>
        <v>0</v>
      </c>
      <c r="L7" s="447">
        <f>landbouw!L8</f>
        <v>0</v>
      </c>
      <c r="M7" s="447">
        <f>landbouw!M8</f>
        <v>0</v>
      </c>
      <c r="N7" s="447">
        <f>landbouw!N8</f>
        <v>0</v>
      </c>
      <c r="O7" s="447">
        <f>landbouw!O8</f>
        <v>0</v>
      </c>
      <c r="P7" s="448">
        <f>landbouw!P8</f>
        <v>0</v>
      </c>
      <c r="Q7" s="446">
        <f t="shared" si="0"/>
        <v>24085.022669050362</v>
      </c>
    </row>
    <row r="8" spans="1:17">
      <c r="A8" s="446" t="s">
        <v>640</v>
      </c>
      <c r="B8" s="447">
        <f>industrie!B18</f>
        <v>1147.758</v>
      </c>
      <c r="C8" s="447">
        <f>industrie!C18</f>
        <v>0</v>
      </c>
      <c r="D8" s="447">
        <f>industrie!D18</f>
        <v>752.32482600000003</v>
      </c>
      <c r="E8" s="447">
        <f>industrie!E18</f>
        <v>8.8491727344089615</v>
      </c>
      <c r="F8" s="447">
        <f>industrie!F18</f>
        <v>498.72268751088103</v>
      </c>
      <c r="G8" s="447">
        <f>industrie!G18</f>
        <v>0</v>
      </c>
      <c r="H8" s="447">
        <f>industrie!H18</f>
        <v>0</v>
      </c>
      <c r="I8" s="447">
        <f>industrie!I18</f>
        <v>0</v>
      </c>
      <c r="J8" s="447">
        <f>industrie!J18</f>
        <v>5.5812750170334073</v>
      </c>
      <c r="K8" s="447">
        <f>industrie!K18</f>
        <v>0</v>
      </c>
      <c r="L8" s="447">
        <f>industrie!L18</f>
        <v>0</v>
      </c>
      <c r="M8" s="447">
        <f>industrie!M18</f>
        <v>0</v>
      </c>
      <c r="N8" s="447">
        <f>industrie!N18</f>
        <v>48.397030611507063</v>
      </c>
      <c r="O8" s="447">
        <f>industrie!O18</f>
        <v>0</v>
      </c>
      <c r="P8" s="448">
        <f>industrie!P18</f>
        <v>0</v>
      </c>
      <c r="Q8" s="446">
        <f t="shared" si="0"/>
        <v>2461.6329918738306</v>
      </c>
    </row>
    <row r="9" spans="1:17" s="452" customFormat="1">
      <c r="A9" s="450" t="s">
        <v>560</v>
      </c>
      <c r="B9" s="451">
        <f>transport!B14</f>
        <v>2.9650421936646829</v>
      </c>
      <c r="C9" s="451">
        <f>transport!C14</f>
        <v>0</v>
      </c>
      <c r="D9" s="451">
        <f>transport!D14</f>
        <v>3.8163795200473327</v>
      </c>
      <c r="E9" s="451">
        <f>transport!E14</f>
        <v>242.65814541938178</v>
      </c>
      <c r="F9" s="451">
        <f>transport!F14</f>
        <v>0</v>
      </c>
      <c r="G9" s="451">
        <f>transport!G14</f>
        <v>51411.694078423803</v>
      </c>
      <c r="H9" s="451">
        <f>transport!H14</f>
        <v>9696.2809267658631</v>
      </c>
      <c r="I9" s="451">
        <f>transport!I14</f>
        <v>0</v>
      </c>
      <c r="J9" s="451">
        <f>transport!J14</f>
        <v>0</v>
      </c>
      <c r="K9" s="451">
        <f>transport!K14</f>
        <v>0</v>
      </c>
      <c r="L9" s="451">
        <f>transport!L14</f>
        <v>0</v>
      </c>
      <c r="M9" s="451">
        <f>transport!M14</f>
        <v>2731.7403942247583</v>
      </c>
      <c r="N9" s="451">
        <f>transport!N14</f>
        <v>0</v>
      </c>
      <c r="O9" s="451">
        <f>transport!O14</f>
        <v>0</v>
      </c>
      <c r="P9" s="451">
        <f>transport!P14</f>
        <v>0</v>
      </c>
      <c r="Q9" s="450">
        <f>SUM(B9:P9)</f>
        <v>64089.154966547518</v>
      </c>
    </row>
    <row r="10" spans="1:17">
      <c r="A10" s="446" t="s">
        <v>550</v>
      </c>
      <c r="B10" s="447">
        <f>transport!B54</f>
        <v>4.8067066896251838</v>
      </c>
      <c r="C10" s="447">
        <f>transport!C54</f>
        <v>0</v>
      </c>
      <c r="D10" s="447">
        <f>transport!D54</f>
        <v>0</v>
      </c>
      <c r="E10" s="447">
        <f>transport!E54</f>
        <v>0</v>
      </c>
      <c r="F10" s="447">
        <f>transport!F54</f>
        <v>0</v>
      </c>
      <c r="G10" s="447">
        <f>transport!G54</f>
        <v>958.70715253630442</v>
      </c>
      <c r="H10" s="447">
        <f>transport!H54</f>
        <v>0</v>
      </c>
      <c r="I10" s="447">
        <f>transport!I54</f>
        <v>0</v>
      </c>
      <c r="J10" s="447">
        <f>transport!J54</f>
        <v>0</v>
      </c>
      <c r="K10" s="447">
        <f>transport!K54</f>
        <v>0</v>
      </c>
      <c r="L10" s="447">
        <f>transport!L54</f>
        <v>0</v>
      </c>
      <c r="M10" s="447">
        <f>transport!M54</f>
        <v>42.373835077834201</v>
      </c>
      <c r="N10" s="447">
        <f>transport!N54</f>
        <v>0</v>
      </c>
      <c r="O10" s="447">
        <f>transport!O54</f>
        <v>0</v>
      </c>
      <c r="P10" s="448">
        <f>transport!P54</f>
        <v>0</v>
      </c>
      <c r="Q10" s="446">
        <f t="shared" si="0"/>
        <v>1005.8876943037639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294.89499999999998</v>
      </c>
      <c r="C14" s="454"/>
      <c r="D14" s="454">
        <f>'SEAP template'!E25</f>
        <v>1352.1179999999999</v>
      </c>
      <c r="E14" s="454"/>
      <c r="F14" s="454"/>
      <c r="G14" s="454"/>
      <c r="H14" s="454"/>
      <c r="I14" s="454"/>
      <c r="J14" s="454"/>
      <c r="K14" s="454"/>
      <c r="L14" s="454"/>
      <c r="M14" s="454"/>
      <c r="N14" s="454"/>
      <c r="O14" s="454"/>
      <c r="P14" s="455"/>
      <c r="Q14" s="446">
        <f t="shared" si="0"/>
        <v>1647.0129999999999</v>
      </c>
    </row>
    <row r="15" spans="1:17" s="459" customFormat="1">
      <c r="A15" s="456" t="s">
        <v>554</v>
      </c>
      <c r="B15" s="457">
        <f ca="1">SUM(B4:B14)</f>
        <v>26103.60400769837</v>
      </c>
      <c r="C15" s="457">
        <f t="shared" ref="C15:Q15" ca="1" si="1">SUM(C4:C14)</f>
        <v>15887.045454545454</v>
      </c>
      <c r="D15" s="457">
        <f t="shared" ca="1" si="1"/>
        <v>25472.507608792777</v>
      </c>
      <c r="E15" s="457">
        <f t="shared" si="1"/>
        <v>1425.2458426041221</v>
      </c>
      <c r="F15" s="457">
        <f t="shared" ca="1" si="1"/>
        <v>41833.518092383143</v>
      </c>
      <c r="G15" s="457">
        <f t="shared" si="1"/>
        <v>52370.401230960109</v>
      </c>
      <c r="H15" s="457">
        <f t="shared" si="1"/>
        <v>9696.2809267658631</v>
      </c>
      <c r="I15" s="457">
        <f t="shared" si="1"/>
        <v>0</v>
      </c>
      <c r="J15" s="457">
        <f t="shared" si="1"/>
        <v>800.18466650610969</v>
      </c>
      <c r="K15" s="457">
        <f t="shared" si="1"/>
        <v>0</v>
      </c>
      <c r="L15" s="457">
        <f t="shared" ca="1" si="1"/>
        <v>0</v>
      </c>
      <c r="M15" s="457">
        <f t="shared" si="1"/>
        <v>2774.1142293025923</v>
      </c>
      <c r="N15" s="457">
        <f t="shared" ca="1" si="1"/>
        <v>5911.9812383717453</v>
      </c>
      <c r="O15" s="457">
        <f t="shared" si="1"/>
        <v>46.9</v>
      </c>
      <c r="P15" s="457">
        <f t="shared" si="1"/>
        <v>324.13333333333333</v>
      </c>
      <c r="Q15" s="457">
        <f t="shared" ca="1" si="1"/>
        <v>182645.91663126362</v>
      </c>
    </row>
    <row r="17" spans="1:17">
      <c r="A17" s="460" t="s">
        <v>555</v>
      </c>
      <c r="B17" s="729">
        <f ca="1">huishoudens!B10</f>
        <v>0.10276286906665982</v>
      </c>
      <c r="C17" s="729">
        <f ca="1">huishoudens!C10</f>
        <v>2.0398786171238725E-5</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1593.1179878838614</v>
      </c>
      <c r="C22" s="447">
        <f t="shared" ref="C22:C32" ca="1" si="3">C4*$C$17</f>
        <v>0</v>
      </c>
      <c r="D22" s="447">
        <f t="shared" ref="D22:D32" si="4">D4*$D$17</f>
        <v>3829.7996261800004</v>
      </c>
      <c r="E22" s="447">
        <f t="shared" ref="E22:E32" si="5">E4*$E$17</f>
        <v>251.68456435484467</v>
      </c>
      <c r="F22" s="447">
        <f t="shared" ref="F22:F32" si="6">F4*$F$17</f>
        <v>9025.2253356717938</v>
      </c>
      <c r="G22" s="447">
        <f t="shared" ref="G22:G32" si="7">G4*$G$17</f>
        <v>0</v>
      </c>
      <c r="H22" s="447">
        <f t="shared" ref="H22:H32" si="8">H4*$H$17</f>
        <v>0</v>
      </c>
      <c r="I22" s="447">
        <f t="shared" ref="I22:I32" si="9">I4*$I$17</f>
        <v>0</v>
      </c>
      <c r="J22" s="447">
        <f t="shared" ref="J22:J32" si="10">J4*$J$17</f>
        <v>217.11942844723953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14916.946942537741</v>
      </c>
    </row>
    <row r="23" spans="1:17">
      <c r="A23" s="446" t="s">
        <v>149</v>
      </c>
      <c r="B23" s="447">
        <f t="shared" ca="1" si="2"/>
        <v>706.80558251221294</v>
      </c>
      <c r="C23" s="447">
        <f t="shared" ca="1" si="3"/>
        <v>0</v>
      </c>
      <c r="D23" s="447">
        <f t="shared" ca="1" si="4"/>
        <v>865.49906366000005</v>
      </c>
      <c r="E23" s="447">
        <f t="shared" si="5"/>
        <v>10.681192682674272</v>
      </c>
      <c r="F23" s="447">
        <f t="shared" ca="1" si="6"/>
        <v>392.70026333446117</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1975.6861021893483</v>
      </c>
    </row>
    <row r="24" spans="1:17">
      <c r="A24" s="446" t="s">
        <v>187</v>
      </c>
      <c r="B24" s="447">
        <f t="shared" ca="1" si="2"/>
        <v>46.79779952148062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46.79779952148062</v>
      </c>
    </row>
    <row r="25" spans="1:17">
      <c r="A25" s="446" t="s">
        <v>105</v>
      </c>
      <c r="B25" s="447">
        <f t="shared" ca="1" si="2"/>
        <v>186.71006233295236</v>
      </c>
      <c r="C25" s="447">
        <f t="shared" ca="1" si="3"/>
        <v>0.32407644312002287</v>
      </c>
      <c r="D25" s="447">
        <f t="shared" si="4"/>
        <v>24.279487621090908</v>
      </c>
      <c r="E25" s="447">
        <f t="shared" si="5"/>
        <v>4.0728880127062919</v>
      </c>
      <c r="F25" s="447">
        <f t="shared" si="6"/>
        <v>1618.4647740946407</v>
      </c>
      <c r="G25" s="447">
        <f t="shared" si="7"/>
        <v>0</v>
      </c>
      <c r="H25" s="447">
        <f t="shared" si="8"/>
        <v>0</v>
      </c>
      <c r="I25" s="447">
        <f t="shared" si="9"/>
        <v>0</v>
      </c>
      <c r="J25" s="447">
        <f t="shared" si="10"/>
        <v>64.170172139893452</v>
      </c>
      <c r="K25" s="447">
        <f t="shared" si="11"/>
        <v>0</v>
      </c>
      <c r="L25" s="447">
        <f t="shared" si="12"/>
        <v>0</v>
      </c>
      <c r="M25" s="447">
        <f t="shared" si="13"/>
        <v>0</v>
      </c>
      <c r="N25" s="447">
        <f t="shared" si="14"/>
        <v>0</v>
      </c>
      <c r="O25" s="447">
        <f t="shared" si="15"/>
        <v>0</v>
      </c>
      <c r="P25" s="448">
        <f t="shared" si="16"/>
        <v>0</v>
      </c>
      <c r="Q25" s="446">
        <f t="shared" ca="1" si="17"/>
        <v>1898.0214606444038</v>
      </c>
    </row>
    <row r="26" spans="1:17">
      <c r="A26" s="446" t="s">
        <v>640</v>
      </c>
      <c r="B26" s="447">
        <f t="shared" ca="1" si="2"/>
        <v>117.94690507421134</v>
      </c>
      <c r="C26" s="447">
        <f t="shared" ca="1" si="3"/>
        <v>0</v>
      </c>
      <c r="D26" s="447">
        <f t="shared" si="4"/>
        <v>151.96961485200001</v>
      </c>
      <c r="E26" s="447">
        <f t="shared" si="5"/>
        <v>2.0087622107108345</v>
      </c>
      <c r="F26" s="447">
        <f t="shared" si="6"/>
        <v>133.15895756540525</v>
      </c>
      <c r="G26" s="447">
        <f t="shared" si="7"/>
        <v>0</v>
      </c>
      <c r="H26" s="447">
        <f t="shared" si="8"/>
        <v>0</v>
      </c>
      <c r="I26" s="447">
        <f t="shared" si="9"/>
        <v>0</v>
      </c>
      <c r="J26" s="447">
        <f t="shared" si="10"/>
        <v>1.975771356029826</v>
      </c>
      <c r="K26" s="447">
        <f t="shared" si="11"/>
        <v>0</v>
      </c>
      <c r="L26" s="447">
        <f t="shared" si="12"/>
        <v>0</v>
      </c>
      <c r="M26" s="447">
        <f t="shared" si="13"/>
        <v>0</v>
      </c>
      <c r="N26" s="447">
        <f t="shared" si="14"/>
        <v>0</v>
      </c>
      <c r="O26" s="447">
        <f t="shared" si="15"/>
        <v>0</v>
      </c>
      <c r="P26" s="448">
        <f t="shared" si="16"/>
        <v>0</v>
      </c>
      <c r="Q26" s="446">
        <f t="shared" ca="1" si="17"/>
        <v>407.06001105835725</v>
      </c>
    </row>
    <row r="27" spans="1:17" s="452" customFormat="1">
      <c r="A27" s="450" t="s">
        <v>560</v>
      </c>
      <c r="B27" s="723">
        <f t="shared" ca="1" si="2"/>
        <v>0.30469624272468565</v>
      </c>
      <c r="C27" s="451">
        <f t="shared" ca="1" si="3"/>
        <v>0</v>
      </c>
      <c r="D27" s="451">
        <f t="shared" si="4"/>
        <v>0.77090866304956129</v>
      </c>
      <c r="E27" s="451">
        <f t="shared" si="5"/>
        <v>55.083399010199663</v>
      </c>
      <c r="F27" s="451">
        <f t="shared" si="6"/>
        <v>0</v>
      </c>
      <c r="G27" s="451">
        <f t="shared" si="7"/>
        <v>13726.922318939156</v>
      </c>
      <c r="H27" s="451">
        <f t="shared" si="8"/>
        <v>2414.3739507647001</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16197.455273619831</v>
      </c>
    </row>
    <row r="28" spans="1:17">
      <c r="A28" s="446" t="s">
        <v>550</v>
      </c>
      <c r="B28" s="447">
        <f t="shared" ca="1" si="2"/>
        <v>0.49395097018779066</v>
      </c>
      <c r="C28" s="447">
        <f t="shared" ca="1" si="3"/>
        <v>0</v>
      </c>
      <c r="D28" s="447">
        <f t="shared" si="4"/>
        <v>0</v>
      </c>
      <c r="E28" s="447">
        <f t="shared" si="5"/>
        <v>0</v>
      </c>
      <c r="F28" s="447">
        <f t="shared" si="6"/>
        <v>0</v>
      </c>
      <c r="G28" s="447">
        <f t="shared" si="7"/>
        <v>255.9748097271933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256.46876069738107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30.304256273412648</v>
      </c>
      <c r="C32" s="447">
        <f t="shared" ca="1" si="3"/>
        <v>0</v>
      </c>
      <c r="D32" s="447">
        <f t="shared" si="4"/>
        <v>273.127836</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303.43209227341265</v>
      </c>
    </row>
    <row r="33" spans="1:17" s="459" customFormat="1">
      <c r="A33" s="456" t="s">
        <v>554</v>
      </c>
      <c r="B33" s="457">
        <f ca="1">SUM(B22:B32)</f>
        <v>2682.4812408110438</v>
      </c>
      <c r="C33" s="457">
        <f t="shared" ref="C33:Q33" ca="1" si="18">SUM(C22:C32)</f>
        <v>0.32407644312002287</v>
      </c>
      <c r="D33" s="457">
        <f t="shared" ca="1" si="18"/>
        <v>5145.4465369761401</v>
      </c>
      <c r="E33" s="457">
        <f t="shared" si="18"/>
        <v>323.53080627113576</v>
      </c>
      <c r="F33" s="457">
        <f t="shared" ca="1" si="18"/>
        <v>11169.549330666301</v>
      </c>
      <c r="G33" s="457">
        <f t="shared" si="18"/>
        <v>13982.897128666349</v>
      </c>
      <c r="H33" s="457">
        <f t="shared" si="18"/>
        <v>2414.3739507647001</v>
      </c>
      <c r="I33" s="457">
        <f t="shared" si="18"/>
        <v>0</v>
      </c>
      <c r="J33" s="457">
        <f t="shared" si="18"/>
        <v>283.26537194316285</v>
      </c>
      <c r="K33" s="457">
        <f t="shared" si="18"/>
        <v>0</v>
      </c>
      <c r="L33" s="457">
        <f t="shared" ca="1" si="18"/>
        <v>0</v>
      </c>
      <c r="M33" s="457">
        <f t="shared" si="18"/>
        <v>0</v>
      </c>
      <c r="N33" s="457">
        <f t="shared" ca="1" si="18"/>
        <v>0</v>
      </c>
      <c r="O33" s="457">
        <f t="shared" si="18"/>
        <v>0</v>
      </c>
      <c r="P33" s="457">
        <f t="shared" si="18"/>
        <v>0</v>
      </c>
      <c r="Q33" s="457">
        <f t="shared" ca="1" si="18"/>
        <v>36001.868442541956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2846.7971422949113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11118.954592274678</v>
      </c>
      <c r="C8" s="977">
        <f>'SEAP template'!C76</f>
        <v>0.95449863441279736</v>
      </c>
      <c r="D8" s="977">
        <f>'SEAP template'!D76</f>
        <v>1.1229338999458818</v>
      </c>
      <c r="E8" s="977">
        <f>'SEAP template'!E76</f>
        <v>0</v>
      </c>
      <c r="F8" s="977">
        <f>'SEAP template'!F76</f>
        <v>0</v>
      </c>
      <c r="G8" s="977">
        <f>'SEAP template'!G76</f>
        <v>0</v>
      </c>
      <c r="H8" s="977">
        <f>'SEAP template'!H76</f>
        <v>0</v>
      </c>
      <c r="I8" s="977">
        <f>'SEAP template'!I76</f>
        <v>0</v>
      </c>
      <c r="J8" s="977">
        <f>'SEAP template'!J76</f>
        <v>13081.057000469578</v>
      </c>
      <c r="K8" s="977">
        <f>'SEAP template'!K76</f>
        <v>0</v>
      </c>
      <c r="L8" s="977">
        <f>'SEAP template'!L76</f>
        <v>0</v>
      </c>
      <c r="M8" s="977">
        <f>'SEAP template'!M76</f>
        <v>0</v>
      </c>
      <c r="N8" s="977">
        <f>'SEAP template'!N76</f>
        <v>0</v>
      </c>
      <c r="O8" s="977">
        <f>'SEAP template'!O76</f>
        <v>0</v>
      </c>
      <c r="P8" s="978">
        <f>'SEAP template'!Q76</f>
        <v>0.22683264778906814</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13965.751734569589</v>
      </c>
      <c r="C10" s="981">
        <f>SUM(C4:C9)</f>
        <v>0.95449863441279736</v>
      </c>
      <c r="D10" s="981">
        <f t="shared" ref="D10:H10" si="0">SUM(D8:D9)</f>
        <v>1.1229338999458818</v>
      </c>
      <c r="E10" s="981">
        <f t="shared" si="0"/>
        <v>0</v>
      </c>
      <c r="F10" s="981">
        <f t="shared" si="0"/>
        <v>0</v>
      </c>
      <c r="G10" s="981">
        <f t="shared" si="0"/>
        <v>0</v>
      </c>
      <c r="H10" s="981">
        <f t="shared" si="0"/>
        <v>0</v>
      </c>
      <c r="I10" s="981">
        <f>SUM(I8:I9)</f>
        <v>0</v>
      </c>
      <c r="J10" s="981">
        <f>SUM(J8:J9)</f>
        <v>13081.057000469578</v>
      </c>
      <c r="K10" s="981">
        <f t="shared" ref="K10:L10" si="1">SUM(K8:K9)</f>
        <v>0</v>
      </c>
      <c r="L10" s="981">
        <f t="shared" si="1"/>
        <v>0</v>
      </c>
      <c r="M10" s="981">
        <f>SUM(M8:M9)</f>
        <v>0</v>
      </c>
      <c r="N10" s="981">
        <f>SUM(N8:N9)</f>
        <v>0</v>
      </c>
      <c r="O10" s="981">
        <f>SUM(O8:O9)</f>
        <v>0</v>
      </c>
      <c r="P10" s="981">
        <f>SUM(P8:P9)</f>
        <v>0.22683264778906814</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0.10276286906665982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15885.681759656651</v>
      </c>
      <c r="C17" s="984">
        <f>'SEAP template'!C87</f>
        <v>1.3636948888021847</v>
      </c>
      <c r="D17" s="978">
        <f>'SEAP template'!D87</f>
        <v>1.6043388273268457</v>
      </c>
      <c r="E17" s="978">
        <f>'SEAP template'!E87</f>
        <v>0</v>
      </c>
      <c r="F17" s="978">
        <f>'SEAP template'!F87</f>
        <v>0</v>
      </c>
      <c r="G17" s="978">
        <f>'SEAP template'!G87</f>
        <v>0</v>
      </c>
      <c r="H17" s="978">
        <f>'SEAP template'!H87</f>
        <v>0</v>
      </c>
      <c r="I17" s="978">
        <f>'SEAP template'!I87</f>
        <v>0</v>
      </c>
      <c r="J17" s="978">
        <f>'SEAP template'!J87</f>
        <v>18688.942999530427</v>
      </c>
      <c r="K17" s="978">
        <f>'SEAP template'!K87</f>
        <v>0</v>
      </c>
      <c r="L17" s="978">
        <f>'SEAP template'!L87</f>
        <v>0</v>
      </c>
      <c r="M17" s="978">
        <f>'SEAP template'!M87</f>
        <v>0</v>
      </c>
      <c r="N17" s="978">
        <f>'SEAP template'!N87</f>
        <v>0</v>
      </c>
      <c r="O17" s="978">
        <f>'SEAP template'!O87</f>
        <v>0</v>
      </c>
      <c r="P17" s="978">
        <f>'SEAP template'!Q87</f>
        <v>0.32407644312002287</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15885.681759656651</v>
      </c>
      <c r="C20" s="981">
        <f>SUM(C17:C19)</f>
        <v>1.3636948888021847</v>
      </c>
      <c r="D20" s="981">
        <f t="shared" ref="D20:H20" si="2">SUM(D17:D19)</f>
        <v>1.6043388273268457</v>
      </c>
      <c r="E20" s="981">
        <f t="shared" si="2"/>
        <v>0</v>
      </c>
      <c r="F20" s="981">
        <f t="shared" si="2"/>
        <v>0</v>
      </c>
      <c r="G20" s="981">
        <f t="shared" si="2"/>
        <v>0</v>
      </c>
      <c r="H20" s="981">
        <f t="shared" si="2"/>
        <v>0</v>
      </c>
      <c r="I20" s="981">
        <f>SUM(I17:I19)</f>
        <v>0</v>
      </c>
      <c r="J20" s="981">
        <f>SUM(J17:J19)</f>
        <v>18688.942999530427</v>
      </c>
      <c r="K20" s="981">
        <f t="shared" ref="K20:L20" si="3">SUM(K17:K19)</f>
        <v>0</v>
      </c>
      <c r="L20" s="981">
        <f t="shared" si="3"/>
        <v>0</v>
      </c>
      <c r="M20" s="981">
        <f>SUM(M17:M19)</f>
        <v>0</v>
      </c>
      <c r="N20" s="981">
        <f>SUM(N17:N19)</f>
        <v>0</v>
      </c>
      <c r="O20" s="981">
        <f>SUM(O17:O19)</f>
        <v>0</v>
      </c>
      <c r="P20" s="981">
        <f>SUM(P17:P19)</f>
        <v>0.32407644312002287</v>
      </c>
    </row>
    <row r="22" spans="1:16">
      <c r="A22" s="460" t="s">
        <v>867</v>
      </c>
      <c r="B22" s="729" t="s">
        <v>861</v>
      </c>
      <c r="C22" s="729">
        <f ca="1">'EF ele_warmte'!B22</f>
        <v>2.0398786171238725E-5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0.10276286906665982</v>
      </c>
      <c r="C17" s="496">
        <f ca="1">'EF ele_warmte'!B22</f>
        <v>2.0398786171238725E-5</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2022-07-26T12:40:30Z</dcterms:modified>
</cp:coreProperties>
</file>