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6E3B1768-F959-447C-8974-779DF032D85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<sst xmlns="http://schemas.openxmlformats.org/spreadsheetml/2006/main" count="2502" uniqueCount="945">
  <si>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</si>
  <si>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</si>
  <si>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</si>
  <si>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</si>
  <si>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</si>
  <si>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</si>
  <si>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</si>
  <si>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</si>
  <si>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</si>
  <si>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</si>
  <si>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</si>
  <si>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</si>
  <si>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</si>
  <si>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</si>
  <si>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</si>
  <si>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</si>
  <si>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</si>
  <si>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</si>
  <si>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</si>
  <si>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</si>
  <si>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</si>
  <si>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</si>
  <si>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</si>
  <si>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</si>
  <si>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</si>
  <si>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</si>
  <si>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</si>
  <si>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</si>
  <si>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</si>
  <si>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</si>
  <si>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</si>
  <si>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</si>
  <si>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</si>
  <si>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</si>
  <si>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</si>
  <si>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</si>
  <si>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</si>
  <si>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</si>
  <si>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</si>
  <si>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</si>
  <si>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</si>
  <si>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</si>
  <si>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</si>
  <si>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</si>
  <si>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</si>
  <si>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</si>
  <si>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</si>
  <si>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</si>
  <si>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</si>
  <si>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</si>
  <si>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</si>
  <si>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</si>
  <si>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</si>
  <si>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</si>
  <si>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</si>
  <si>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</si>
  <si>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</si>
  <si>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</si>
  <si>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</si>
  <si>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</si>
  <si>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</si>
  <si>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</si>
  <si>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</si>
  <si>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</si>
  <si>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</si>
  <si>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</si>
  <si>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</si>
  <si>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</si>
  <si>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</si>
  <si>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</si>
  <si>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</si>
  <si>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</si>
  <si>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</si>
  <si>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</si>
  <si>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</si>
  <si>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</si>
  <si>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</si>
  <si>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</si>
  <si>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</si>
  <si>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</si>
  <si>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</si>
  <si>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</si>
  <si>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</si>
  <si>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</si>
  <si>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</si>
  <si>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</si>
  <si>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</si>
  <si>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</si>
  <si>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</si>
  <si>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</si>
  <si>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</si>
  <si>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</si>
  <si>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</si>
  <si>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</si>
  <si>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</si>
  <si>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</si>
  <si>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</si>
  <si>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</si>
  <si>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</si>
  <si>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</si>
  <si>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</si>
  <si>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</si>
  <si>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</si>
  <si>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</si>
  <si>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</si>
  <si>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</si>
  <si>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</si>
  <si>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</si>
  <si>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</si>
  <si>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</si>
  <si>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</si>
  <si>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</si>
  <si>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</si>
  <si>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</si>
  <si>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</si>
  <si>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</si>
  <si>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</si>
  <si>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</si>
  <si>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</si>
  <si>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</si>
  <si>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</si>
  <si>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</si>
  <si>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</si>
  <si>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</si>
  <si>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</si>
  <si>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</si>
  <si>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</si>
  <si>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</si>
  <si>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</si>
  <si>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</si>
  <si>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</si>
  <si>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</si>
  <si>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</si>
  <si>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</si>
  <si>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</si>
  <si>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</si>
  <si>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</si>
  <si>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</si>
  <si>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</si>
  <si>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</si>
  <si>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</si>
  <si>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</si>
  <si>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</si>
  <si>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</si>
  <si>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</si>
  <si>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</si>
  <si>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</si>
  <si>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</si>
  <si>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</si>
  <si>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</si>
  <si>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</si>
  <si>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</si>
  <si>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</si>
  <si>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</si>
  <si>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</si>
  <si>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</si>
  <si>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</si>
  <si>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</si>
  <si>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</si>
  <si>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</si>
  <si>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</si>
  <si>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</si>
  <si>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</si>
  <si>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</si>
  <si>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</si>
  <si>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</si>
  <si>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</si>
  <si>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</si>
  <si>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</si>
  <si>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</si>
  <si>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</si>
  <si>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</si>
  <si>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</si>
  <si>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</si>
  <si>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</si>
  <si>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</si>
  <si>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</si>
  <si>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</si>
  <si>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</si>
  <si>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</si>
  <si>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</si>
  <si>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</si>
  <si>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</si>
  <si>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</si>
  <si>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</si>
  <si>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</si>
  <si>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</si>
  <si>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</si>
  <si>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</si>
  <si>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</si>
  <si>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</si>
  <si>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</si>
  <si>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</si>
  <si>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</si>
  <si>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</si>
  <si>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</si>
  <si>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</si>
  <si>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</si>
  <si>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</si>
  <si>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</si>
  <si>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</si>
  <si>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</si>
  <si>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</si>
  <si>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</si>
  <si>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</si>
  <si>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</si>
  <si>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</si>
  <si>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</si>
  <si>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</si>
  <si>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</si>
  <si>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</si>
  <si>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</si>
  <si>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</si>
  <si>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</si>
  <si>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</si>
  <si>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</si>
  <si>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</si>
  <si>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</si>
  <si>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</si>
  <si>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</si>
  <si>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</si>
  <si>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</si>
  <si>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</si>
  <si>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</si>
  <si>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</si>
  <si>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</si>
  <si>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</si>
  <si>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</si>
  <si>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</si>
  <si>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</si>
  <si>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</si>
  <si>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</si>
  <si>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</si>
  <si>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</si>
  <si>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</si>
  <si>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</si>
  <si>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</si>
  <si>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</si>
  <si>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</si>
  <si>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</si>
  <si>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</si>
  <si>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</si>
  <si>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</si>
  <si>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</si>
  <si>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</si>
  <si>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</si>
  <si>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</si>
  <si>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</si>
  <si>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</si>
  <si>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</si>
  <si>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</si>
  <si>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</si>
  <si>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</si>
  <si>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</si>
  <si>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</si>
  <si>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</si>
  <si>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</si>
  <si>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</si>
  <si>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</si>
  <si>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</si>
  <si>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</si>
  <si>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</si>
  <si>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</si>
  <si>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</si>
  <si>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</si>
  <si>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</si>
  <si>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</si>
  <si>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</si>
  <si>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</si>
  <si>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</si>
  <si>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</si>
  <si>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</si>
  <si>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</si>
  <si>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</si>
  <si>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</si>
  <si>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</si>
  <si>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</si>
  <si>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</si>
  <si>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</si>
  <si>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</si>
  <si>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</si>
  <si>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</si>
  <si>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</si>
  <si>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</si>
  <si>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</si>
  <si>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</si>
  <si>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</si>
  <si>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</si>
  <si>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</si>
  <si>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</si>
  <si>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</si>
  <si>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</si>
  <si>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</si>
  <si>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</si>
  <si>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</si>
  <si>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</si>
  <si>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</si>
  <si>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</si>
  <si>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</si>
  <si>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</si>
  <si>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</si>
  <si>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</si>
  <si>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</si>
  <si>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</si>
  <si>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</si>
  <si>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</si>
  <si>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</si>
  <si>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</si>
  <si>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</si>
  <si>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</si>
  <si>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</si>
  <si>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</si>
  <si>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</si>
  <si>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</si>
  <si>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</si>
  <si>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</si>
  <si>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</si>
  <si>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</si>
  <si>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</si>
  <si>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</si>
  <si>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</si>
  <si>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</si>
  <si>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</si>
  <si>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</si>
  <si>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</si>
  <si>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</si>
  <si>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</si>
  <si>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</si>
  <si>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</si>
  <si>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</si>
  <si>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</si>
  <si>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</si>
  <si>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</si>
  <si>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</si>
  <si>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</si>
  <si>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</si>
  <si>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</si>
  <si>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</si>
  <si>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</si>
  <si>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</si>
  <si>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</si>
  <si>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</si>
  <si>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</si>
  <si>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</si>
  <si>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</si>
  <si>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</si>
  <si>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</si>
  <si>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</si>
  <si>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</si>
  <si>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</si>
  <si>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</si>
  <si>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</si>
  <si>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</si>
  <si>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</si>
  <si>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</si>
  <si>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</si>
  <si>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</si>
  <si>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</si>
  <si>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</si>
  <si>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</si>
  <si>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</si>
  <si>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</si>
  <si>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</si>
  <si>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</si>
  <si>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</si>
  <si>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</si>
  <si>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</si>
  <si>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</si>
  <si>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</si>
  <si>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</si>
  <si>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</si>
  <si>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</si>
  <si>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</si>
  <si>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</si>
  <si>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</si>
  <si>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</si>
  <si>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</si>
  <si>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</si>
  <si>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</si>
  <si>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</si>
  <si>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</si>
  <si>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</si>
  <si>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</si>
  <si>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</si>
  <si>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</si>
  <si>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</si>
  <si>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</si>
  <si>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</si>
  <si>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</si>
  <si>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</si>
  <si>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</si>
  <si>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</si>
  <si>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</si>
  <si>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</si>
  <si>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</si>
  <si>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</si>
  <si>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</si>
  <si>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</si>
  <si>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</si>
  <si>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</si>
  <si>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</si>
  <si>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</si>
  <si>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</si>
  <si>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</si>
  <si>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</si>
  <si>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</si>
  <si>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</si>
  <si>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</si>
  <si>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</si>
  <si>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</si>
  <si>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</si>
  <si>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</si>
  <si>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</si>
  <si>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</si>
  <si>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</si>
  <si>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</si>
  <si>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</si>
  <si>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</si>
  <si>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</si>
  <si>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</si>
  <si>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</si>
  <si>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</si>
  <si>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</si>
  <si>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</si>
  <si>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</si>
  <si>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</si>
  <si>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</si>
  <si>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</si>
  <si>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</si>
  <si>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</si>
  <si>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</si>
  <si>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</si>
  <si>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</si>
  <si>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</si>
  <si>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</si>
  <si>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</si>
  <si>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</si>
  <si>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</si>
  <si>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</si>
  <si>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</si>
  <si>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</si>
  <si>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</si>
  <si>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</si>
  <si>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</si>
  <si>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</si>
  <si>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</si>
  <si>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</si>
  <si>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</si>
  <si>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</si>
  <si>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</si>
  <si>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</si>
  <si>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</si>
  <si>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</si>
  <si>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</si>
  <si>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</si>
  <si>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</si>
  <si>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</si>
  <si>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</si>
  <si>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</si>
  <si>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</si>
  <si>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</si>
  <si>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</si>
  <si>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</si>
  <si>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</si>
  <si>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</si>
  <si>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</si>
  <si>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</si>
  <si>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</si>
  <si>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</si>
  <si>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</si>
  <si>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</si>
  <si>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</si>
  <si>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</si>
  <si>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</si>
  <si>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</si>
  <si>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</si>
  <si>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</si>
  <si>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</si>
  <si>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</si>
  <si>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</si>
  <si>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</si>
  <si>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</si>
  <si>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</si>
  <si>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</si>
  <si>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</si>
  <si>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</si>
  <si>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</si>
  <si>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</si>
  <si>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</si>
  <si>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</si>
  <si>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</si>
  <si>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</si>
  <si>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</si>
  <si>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</si>
  <si>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</si>
  <si>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</si>
  <si>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</si>
  <si>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</si>
  <si>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</si>
  <si>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</si>
  <si>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</si>
  <si>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</si>
  <si>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</si>
  <si>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</si>
  <si>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</si>
  <si>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</si>
  <si>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</si>
  <si>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</si>
  <si>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</si>
  <si>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</si>
  <si>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</si>
  <si>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</si>
  <si>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</si>
  <si>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</si>
  <si>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</si>
  <si>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</si>
  <si>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</si>
  <si>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</si>
  <si>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</si>
  <si>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</si>
  <si>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</si>
  <si>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</si>
  <si>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</si>
  <si>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</si>
  <si>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</si>
  <si>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</si>
  <si>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</si>
  <si>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</si>
  <si>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</si>
  <si>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</si>
  <si>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</si>
  <si>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</si>
  <si>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</si>
  <si>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</si>
  <si>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</si>
  <si>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</si>
  <si>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</si>
  <si>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</si>
  <si>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</si>
  <si>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</si>
  <si>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</si>
  <si>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</si>
  <si>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</si>
  <si>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</si>
  <si>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</si>
  <si>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</si>
  <si>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</si>
  <si>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</si>
  <si>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</si>
  <si>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</si>
  <si>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</si>
  <si>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</si>
  <si>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</si>
  <si>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</si>
  <si>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</si>
  <si>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</si>
  <si>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</si>
  <si>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</si>
  <si>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</si>
  <si>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</si>
  <si>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</si>
  <si>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</si>
  <si>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</si>
  <si>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</si>
  <si>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</si>
  <si>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</si>
  <si>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</si>
  <si>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</si>
  <si>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</si>
  <si>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</si>
  <si>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</si>
  <si>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</si>
  <si>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</si>
  <si>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</si>
  <si>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</si>
  <si>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</si>
  <si>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</si>
  <si>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</si>
  <si>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</si>
  <si>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</si>
  <si>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</si>
  <si>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</si>
  <si>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</si>
  <si>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</si>
  <si>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</si>
  <si>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</si>
  <si>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</si>
  <si>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</si>
  <si>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</si>
  <si>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</si>
  <si>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</si>
  <si>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</si>
  <si>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</si>
  <si>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</si>
  <si>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</si>
  <si>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</si>
  <si>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</si>
  <si>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</si>
  <si>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</si>
  <si>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</si>
  <si>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</si>
  <si>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</si>
  <si>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</si>
  <si>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</si>
  <si>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</si>
  <si>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</si>
  <si>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</si>
  <si>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</si>
  <si>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</si>
  <si>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</si>
  <si>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</si>
  <si>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</si>
  <si>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</si>
  <si>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</si>
  <si>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</si>
  <si>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</si>
  <si>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</si>
  <si>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</si>
  <si>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</si>
  <si>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</si>
  <si>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</si>
  <si>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</si>
  <si>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</si>
  <si>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</si>
  <si>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</si>
  <si>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</si>
  <si>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</si>
  <si>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</si>
  <si>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</si>
  <si>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</si>
  <si>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</si>
  <si>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</si>
  <si>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</si>
  <si>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</si>
  <si>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</si>
  <si>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</si>
  <si>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</si>
  <si>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</si>
  <si>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</si>
  <si>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</si>
  <si>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</si>
  <si>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</si>
  <si>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</si>
  <si>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</si>
  <si>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</si>
  <si>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</si>
  <si>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</si>
  <si>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</si>
  <si>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</si>
  <si>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</si>
  <si>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</si>
  <si>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</si>
  <si>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</si>
  <si>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</si>
  <si>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</si>
  <si>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</si>
  <si>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</si>
  <si>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</si>
  <si>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</si>
  <si>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</si>
  <si>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</si>
  <si>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</si>
  <si>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</si>
  <si>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</si>
  <si>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</si>
  <si>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</si>
  <si>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</si>
  <si>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</si>
  <si>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</si>
  <si>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</si>
  <si>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</si>
  <si>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</si>
  <si>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</si>
  <si>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</si>
  <si>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</si>
  <si>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</si>
  <si>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</si>
  <si>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</si>
  <si>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</si>
  <si>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</si>
  <si>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</si>
  <si>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</si>
  <si>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</si>
  <si>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</si>
  <si>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</si>
  <si>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</si>
  <si>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</si>
  <si>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</si>
  <si>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</si>
  <si>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</si>
  <si>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</si>
  <si>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</si>
  <si>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</si>
  <si>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</si>
  <si>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</si>
  <si>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</si>
  <si>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</si>
  <si>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</si>
  <si>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</si>
  <si>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</si>
  <si>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</si>
  <si>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</si>
  <si>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</si>
  <si>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</si>
  <si>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</si>
  <si>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</si>
  <si>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</si>
  <si>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</si>
  <si>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</si>
  <si>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</si>
  <si>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</si>
  <si>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</si>
  <si>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</si>
  <si>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</si>
  <si>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</si>
  <si>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</si>
  <si>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</si>
  <si>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</si>
  <si>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</si>
  <si>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</si>
  <si>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</si>
  <si>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</si>
  <si>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</si>
  <si>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</si>
  <si>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</si>
  <si>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</si>
  <si>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</si>
  <si>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</si>
  <si>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</si>
  <si>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</si>
  <si>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</si>
  <si>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</si>
  <si>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</si>
  <si>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</si>
  <si>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</si>
  <si>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</si>
  <si>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</si>
  <si>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</si>
  <si>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</si>
  <si>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</si>
  <si>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</si>
  <si>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</si>
  <si>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</si>
  <si>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</si>
  <si>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</si>
  <si>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</si>
  <si>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</si>
  <si>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</si>
  <si>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</si>
  <si>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</si>
  <si>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</si>
  <si>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</si>
  <si>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</si>
  <si>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</si>
  <si>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</si>
  <si>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</si>
  <si>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</si>
  <si>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</si>
  <si>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</si>
  <si>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</si>
  <si>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</si>
  <si>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</si>
  <si>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</si>
  <si>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</si>
  <si>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</si>
  <si>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</si>
  <si>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</si>
  <si>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</si>
  <si>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</si>
  <si>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</si>
  <si>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</si>
  <si>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</si>
  <si>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</si>
  <si>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</si>
  <si>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</si>
  <si>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</si>
  <si>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</si>
  <si>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</si>
  <si>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</si>
  <si>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</si>
  <si>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</si>
  <si>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</si>
  <si>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</si>
  <si>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</si>
  <si>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</si>
  <si>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</si>
  <si>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</si>
  <si>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</si>
  <si>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</si>
  <si>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</si>
  <si>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</si>
  <si>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</si>
  <si>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</si>
  <si>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</si>
  <si>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</si>
  <si>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</si>
  <si>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</si>
  <si>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</si>
  <si>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</si>
  <si>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</si>
  <si>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</si>
  <si>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</si>
  <si>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</si>
  <si>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</si>
  <si>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</si>
  <si>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</si>
  <si>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</si>
  <si>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</si>
  <si>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</si>
  <si>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</si>
  <si>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</si>
  <si>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</si>
  <si>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</si>
  <si>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</si>
  <si>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</si>
  <si>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</si>
  <si>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</si>
  <si>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</si>
  <si>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</si>
  <si>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</si>
  <si>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</si>
  <si>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</si>
  <si>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</si>
  <si>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</si>
  <si>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</si>
  <si>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</si>
  <si>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</si>
  <si>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</si>
  <si>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</si>
  <si>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</si>
  <si>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</si>
  <si>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</si>
  <si>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</si>
  <si>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</si>
  <si>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</si>
  <si>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</si>
  <si>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</si>
  <si>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</si>
  <si>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</si>
  <si>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</si>
  <si>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</si>
  <si>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</si>
  <si>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</si>
  <si>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</si>
  <si>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</si>
  <si>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</si>
  <si>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</si>
  <si>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</si>
  <si>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</si>
  <si>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</si>
  <si>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</si>
  <si>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</si>
  <si>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</si>
  <si>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</si>
  <si>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</si>
  <si>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</si>
  <si>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</si>
  <si>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</si>
  <si>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</si>
  <si>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</si>
  <si>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</si>
  <si>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</si>
  <si>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</si>
  <si>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</si>
  <si>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</si>
  <si>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</si>
  <si>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</si>
  <si>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</si>
  <si>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</si>
  <si>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</si>
  <si>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</si>
  <si>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</si>
  <si>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</si>
  <si>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</si>
  <si>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</si>
  <si>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</si>
  <si>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</si>
  <si>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</si>
  <si>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</si>
  <si>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</si>
  <si>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</si>
  <si>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</si>
  <si>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</si>
  <si>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</si>
  <si>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</si>
  <si>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</si>
  <si>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</si>
  <si>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</si>
  <si>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</si>
  <si>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</si>
  <si>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</si>
  <si>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</si>
  <si>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</si>
  <si>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</si>
  <si>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</si>
  <si>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</si>
  <si>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</si>
  <si>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</si>
  <si>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</si>
  <si>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</si>
  <si>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</si>
  <si>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</si>
  <si>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</si>
  <si>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</si>
  <si>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</si>
  <si>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</si>
  <si>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</si>
  <si>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</si>
  <si>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</si>
  <si>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</si>
  <si>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</si>
  <si>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</si>
  <si>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</si>
  <si>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</si>
  <si>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</si>
  <si>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</si>
  <si>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</si>
  <si>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</si>
  <si>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</si>
  <si>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</si>
  <si>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</si>
  <si>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</si>
  <si>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</si>
  <si>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</si>
  <si>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</si>
  <si>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</si>
  <si>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</si>
  <si>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</si>
  <si>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</si>
  <si>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</si>
  <si>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</si>
  <si>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</si>
  <si>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</si>
  <si>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</si>
  <si>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</si>
  <si>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</si>
  <si>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</si>
  <si>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72004</t>
  </si>
  <si>
    <t>BREE</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</si>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</sst>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3546519-EAA0-43E4-9E47-C0206DE24DAD}"/>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72004</v>
      </c>
      <c r="B6" s="384"/>
      <c r="C6" s="385"/>
    </row>
    <row r="7" spans="1:7" s="382" customFormat="1" ht="15.75" customHeight="1">
      <c r="A7" s="386" t="str">
        <f>txtMunicipality</f>
        <v>BREE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0.2034510156647838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0.2034510156647838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6252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4091</v>
      </c>
      <c r="C14" s="327"/>
      <c r="D14" s="327"/>
      <c r="E14" s="327"/>
      <c r="F14" s="327"/>
    </row>
    <row r="15" spans="1:6">
      <c r="A15" s="1258" t="s">
        <v>177</v>
      </c>
      <c r="B15" s="1259">
        <v>1094</v>
      </c>
      <c r="C15" s="327"/>
      <c r="D15" s="327"/>
      <c r="E15" s="327"/>
      <c r="F15" s="327"/>
    </row>
    <row r="16" spans="1:6">
      <c r="A16" s="1258" t="s">
        <v>6</v>
      </c>
      <c r="B16" s="1259">
        <v>3777</v>
      </c>
      <c r="C16" s="327"/>
      <c r="D16" s="327"/>
      <c r="E16" s="327"/>
      <c r="F16" s="327"/>
    </row>
    <row r="17" spans="1:6">
      <c r="A17" s="1258" t="s">
        <v>7</v>
      </c>
      <c r="B17" s="1259">
        <v>307</v>
      </c>
      <c r="C17" s="327"/>
      <c r="D17" s="327"/>
      <c r="E17" s="327"/>
      <c r="F17" s="327"/>
    </row>
    <row r="18" spans="1:6">
      <c r="A18" s="1258" t="s">
        <v>8</v>
      </c>
      <c r="B18" s="1259">
        <v>2088</v>
      </c>
      <c r="C18" s="327"/>
      <c r="D18" s="327"/>
      <c r="E18" s="327"/>
      <c r="F18" s="327"/>
    </row>
    <row r="19" spans="1:6">
      <c r="A19" s="1258" t="s">
        <v>9</v>
      </c>
      <c r="B19" s="1259">
        <v>2045</v>
      </c>
      <c r="C19" s="327"/>
      <c r="D19" s="327"/>
      <c r="E19" s="327"/>
      <c r="F19" s="327"/>
    </row>
    <row r="20" spans="1:6">
      <c r="A20" s="1258" t="s">
        <v>10</v>
      </c>
      <c r="B20" s="1259">
        <v>1324</v>
      </c>
      <c r="C20" s="327"/>
      <c r="D20" s="327"/>
      <c r="E20" s="327"/>
      <c r="F20" s="327"/>
    </row>
    <row r="21" spans="1:6">
      <c r="A21" s="1258" t="s">
        <v>11</v>
      </c>
      <c r="B21" s="1259">
        <v>11586</v>
      </c>
      <c r="C21" s="327"/>
      <c r="D21" s="327"/>
      <c r="E21" s="327"/>
      <c r="F21" s="327"/>
    </row>
    <row r="22" spans="1:6">
      <c r="A22" s="1258" t="s">
        <v>12</v>
      </c>
      <c r="B22" s="1259">
        <v>25070</v>
      </c>
      <c r="C22" s="327"/>
      <c r="D22" s="327"/>
      <c r="E22" s="327"/>
      <c r="F22" s="327"/>
    </row>
    <row r="23" spans="1:6">
      <c r="A23" s="1258" t="s">
        <v>13</v>
      </c>
      <c r="B23" s="1259">
        <v>390</v>
      </c>
      <c r="C23" s="327"/>
      <c r="D23" s="327"/>
      <c r="E23" s="327"/>
      <c r="F23" s="327"/>
    </row>
    <row r="24" spans="1:6">
      <c r="A24" s="1258" t="s">
        <v>14</v>
      </c>
      <c r="B24" s="1259">
        <v>35</v>
      </c>
      <c r="C24" s="327"/>
      <c r="D24" s="327"/>
      <c r="E24" s="327"/>
      <c r="F24" s="327"/>
    </row>
    <row r="25" spans="1:6">
      <c r="A25" s="1258" t="s">
        <v>15</v>
      </c>
      <c r="B25" s="1259">
        <v>3642</v>
      </c>
      <c r="C25" s="327"/>
      <c r="D25" s="327"/>
      <c r="E25" s="327"/>
      <c r="F25" s="327"/>
    </row>
    <row r="26" spans="1:6">
      <c r="A26" s="1258" t="s">
        <v>16</v>
      </c>
      <c r="B26" s="1259">
        <v>272</v>
      </c>
      <c r="C26" s="327"/>
      <c r="D26" s="327"/>
      <c r="E26" s="327"/>
      <c r="F26" s="327"/>
    </row>
    <row r="27" spans="1:6">
      <c r="A27" s="1258" t="s">
        <v>17</v>
      </c>
      <c r="B27" s="1259">
        <v>0</v>
      </c>
      <c r="C27" s="327"/>
      <c r="D27" s="327"/>
      <c r="E27" s="327"/>
      <c r="F27" s="327"/>
    </row>
    <row r="28" spans="1:6">
      <c r="A28" s="1258" t="s">
        <v>18</v>
      </c>
      <c r="B28" s="1260">
        <v>189378</v>
      </c>
      <c r="C28" s="327"/>
      <c r="D28" s="327"/>
      <c r="E28" s="327"/>
      <c r="F28" s="327"/>
    </row>
    <row r="29" spans="1:6">
      <c r="A29" s="1258" t="s">
        <v>939</v>
      </c>
      <c r="B29" s="1260">
        <v>369</v>
      </c>
      <c r="C29" s="327"/>
      <c r="D29" s="327"/>
      <c r="E29" s="327"/>
      <c r="F29" s="327"/>
    </row>
    <row r="30" spans="1:6">
      <c r="A30" s="1253" t="s">
        <v>940</v>
      </c>
      <c r="B30" s="1261">
        <v>92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38</v>
      </c>
      <c r="F36" s="1259">
        <v>46600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28588</v>
      </c>
    </row>
    <row r="39" spans="1:6">
      <c r="A39" s="1258" t="s">
        <v>29</v>
      </c>
      <c r="B39" s="1258" t="s">
        <v>30</v>
      </c>
      <c r="C39" s="1259">
        <v>2839</v>
      </c>
      <c r="D39" s="1259">
        <v>45303939</v>
      </c>
      <c r="E39" s="1259">
        <v>6390</v>
      </c>
      <c r="F39" s="1259">
        <v>24790968</v>
      </c>
    </row>
    <row r="40" spans="1:6">
      <c r="A40" s="1258" t="s">
        <v>29</v>
      </c>
      <c r="B40" s="1258" t="s">
        <v>28</v>
      </c>
      <c r="C40" s="1259">
        <v>0</v>
      </c>
      <c r="D40" s="1259">
        <v>0</v>
      </c>
      <c r="E40" s="1259">
        <v>0</v>
      </c>
      <c r="F40" s="1259">
        <v>0</v>
      </c>
    </row>
    <row r="41" spans="1:6">
      <c r="A41" s="1258" t="s">
        <v>31</v>
      </c>
      <c r="B41" s="1258" t="s">
        <v>32</v>
      </c>
      <c r="C41" s="1259">
        <v>37</v>
      </c>
      <c r="D41" s="1259">
        <v>1388869</v>
      </c>
      <c r="E41" s="1259">
        <v>125</v>
      </c>
      <c r="F41" s="1259">
        <v>1849523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12</v>
      </c>
      <c r="D44" s="1259">
        <v>3063533</v>
      </c>
      <c r="E44" s="1259">
        <v>27</v>
      </c>
      <c r="F44" s="1259">
        <v>9670462</v>
      </c>
    </row>
    <row r="45" spans="1:6">
      <c r="A45" s="1258" t="s">
        <v>31</v>
      </c>
      <c r="B45" s="1258" t="s">
        <v>36</v>
      </c>
      <c r="C45" s="1259">
        <v>4</v>
      </c>
      <c r="D45" s="1259">
        <v>104293</v>
      </c>
      <c r="E45" s="1259">
        <v>11</v>
      </c>
      <c r="F45" s="1259">
        <v>365615</v>
      </c>
    </row>
    <row r="46" spans="1:6">
      <c r="A46" s="1258" t="s">
        <v>31</v>
      </c>
      <c r="B46" s="1258" t="s">
        <v>37</v>
      </c>
      <c r="C46" s="1259">
        <v>0</v>
      </c>
      <c r="D46" s="1259">
        <v>0</v>
      </c>
      <c r="E46" s="1259">
        <v>0</v>
      </c>
      <c r="F46" s="1259">
        <v>0</v>
      </c>
    </row>
    <row r="47" spans="1:6">
      <c r="A47" s="1258" t="s">
        <v>31</v>
      </c>
      <c r="B47" s="1258" t="s">
        <v>38</v>
      </c>
      <c r="C47" s="1259">
        <v>7</v>
      </c>
      <c r="D47" s="1259">
        <v>166317</v>
      </c>
      <c r="E47" s="1259">
        <v>8</v>
      </c>
      <c r="F47" s="1259">
        <v>115201</v>
      </c>
    </row>
    <row r="48" spans="1:6">
      <c r="A48" s="1258" t="s">
        <v>31</v>
      </c>
      <c r="B48" s="1258" t="s">
        <v>28</v>
      </c>
      <c r="C48" s="1259">
        <v>1</v>
      </c>
      <c r="D48" s="1259">
        <v>1496588</v>
      </c>
      <c r="E48" s="1259">
        <v>3</v>
      </c>
      <c r="F48" s="1259">
        <v>475950</v>
      </c>
    </row>
    <row r="49" spans="1:6">
      <c r="A49" s="1258" t="s">
        <v>31</v>
      </c>
      <c r="B49" s="1258" t="s">
        <v>39</v>
      </c>
      <c r="C49" s="1259">
        <v>0</v>
      </c>
      <c r="D49" s="1259">
        <v>0</v>
      </c>
      <c r="E49" s="1259">
        <v>0</v>
      </c>
      <c r="F49" s="1259">
        <v>0</v>
      </c>
    </row>
    <row r="50" spans="1:6">
      <c r="A50" s="1258" t="s">
        <v>31</v>
      </c>
      <c r="B50" s="1258" t="s">
        <v>40</v>
      </c>
      <c r="C50" s="1259">
        <v>8</v>
      </c>
      <c r="D50" s="1259">
        <v>125922518</v>
      </c>
      <c r="E50" s="1259">
        <v>30</v>
      </c>
      <c r="F50" s="1259">
        <v>24520869</v>
      </c>
    </row>
    <row r="51" spans="1:6">
      <c r="A51" s="1258" t="s">
        <v>41</v>
      </c>
      <c r="B51" s="1258" t="s">
        <v>42</v>
      </c>
      <c r="C51" s="1259">
        <v>6</v>
      </c>
      <c r="D51" s="1259">
        <v>5558894</v>
      </c>
      <c r="E51" s="1259">
        <v>138</v>
      </c>
      <c r="F51" s="1259">
        <v>5736497</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96</v>
      </c>
      <c r="F54" s="1259">
        <v>1130845</v>
      </c>
    </row>
    <row r="55" spans="1:6">
      <c r="A55" s="1258" t="s">
        <v>45</v>
      </c>
      <c r="B55" s="1258" t="s">
        <v>28</v>
      </c>
      <c r="C55" s="1259">
        <v>0</v>
      </c>
      <c r="D55" s="1259">
        <v>0</v>
      </c>
      <c r="E55" s="1259">
        <v>0</v>
      </c>
      <c r="F55" s="1259">
        <v>0</v>
      </c>
    </row>
    <row r="56" spans="1:6">
      <c r="A56" s="1258" t="s">
        <v>47</v>
      </c>
      <c r="B56" s="1258" t="s">
        <v>28</v>
      </c>
      <c r="C56" s="1259">
        <v>38</v>
      </c>
      <c r="D56" s="1259">
        <v>1695526</v>
      </c>
      <c r="E56" s="1259">
        <v>98</v>
      </c>
      <c r="F56" s="1259">
        <v>741546</v>
      </c>
    </row>
    <row r="57" spans="1:6">
      <c r="A57" s="1258" t="s">
        <v>48</v>
      </c>
      <c r="B57" s="1258" t="s">
        <v>49</v>
      </c>
      <c r="C57" s="1259">
        <v>20</v>
      </c>
      <c r="D57" s="1259">
        <v>1465273</v>
      </c>
      <c r="E57" s="1259">
        <v>75</v>
      </c>
      <c r="F57" s="1259">
        <v>4514665</v>
      </c>
    </row>
    <row r="58" spans="1:6">
      <c r="A58" s="1258" t="s">
        <v>48</v>
      </c>
      <c r="B58" s="1258" t="s">
        <v>50</v>
      </c>
      <c r="C58" s="1259">
        <v>24</v>
      </c>
      <c r="D58" s="1259">
        <v>4247835</v>
      </c>
      <c r="E58" s="1259">
        <v>51</v>
      </c>
      <c r="F58" s="1259">
        <v>1915472</v>
      </c>
    </row>
    <row r="59" spans="1:6">
      <c r="A59" s="1258" t="s">
        <v>48</v>
      </c>
      <c r="B59" s="1258" t="s">
        <v>51</v>
      </c>
      <c r="C59" s="1259">
        <v>86</v>
      </c>
      <c r="D59" s="1259">
        <v>4753714</v>
      </c>
      <c r="E59" s="1259">
        <v>234</v>
      </c>
      <c r="F59" s="1259">
        <v>13745915</v>
      </c>
    </row>
    <row r="60" spans="1:6">
      <c r="A60" s="1258" t="s">
        <v>48</v>
      </c>
      <c r="B60" s="1258" t="s">
        <v>52</v>
      </c>
      <c r="C60" s="1259">
        <v>48</v>
      </c>
      <c r="D60" s="1259">
        <v>2383413</v>
      </c>
      <c r="E60" s="1259">
        <v>81</v>
      </c>
      <c r="F60" s="1259">
        <v>2229782</v>
      </c>
    </row>
    <row r="61" spans="1:6">
      <c r="A61" s="1258" t="s">
        <v>48</v>
      </c>
      <c r="B61" s="1258" t="s">
        <v>53</v>
      </c>
      <c r="C61" s="1259">
        <v>117</v>
      </c>
      <c r="D61" s="1259">
        <v>7358908</v>
      </c>
      <c r="E61" s="1259">
        <v>347</v>
      </c>
      <c r="F61" s="1259">
        <v>7701646</v>
      </c>
    </row>
    <row r="62" spans="1:6">
      <c r="A62" s="1258" t="s">
        <v>48</v>
      </c>
      <c r="B62" s="1258" t="s">
        <v>54</v>
      </c>
      <c r="C62" s="1259">
        <v>9</v>
      </c>
      <c r="D62" s="1259">
        <v>1638327</v>
      </c>
      <c r="E62" s="1259">
        <v>20</v>
      </c>
      <c r="F62" s="1259">
        <v>728301</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245124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168524</v>
      </c>
      <c r="E68" s="1261">
        <v>8</v>
      </c>
      <c r="F68" s="1261">
        <v>156100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93853385</v>
      </c>
      <c r="E73" s="445"/>
      <c r="F73" s="327"/>
    </row>
    <row r="74" spans="1:6">
      <c r="A74" s="1258" t="s">
        <v>63</v>
      </c>
      <c r="B74" s="1258" t="s">
        <v>724</v>
      </c>
      <c r="C74" s="1271" t="s">
        <v>718</v>
      </c>
      <c r="D74" s="1259">
        <v>8330830.2272631386</v>
      </c>
      <c r="E74" s="445"/>
      <c r="F74" s="327"/>
    </row>
    <row r="75" spans="1:6">
      <c r="A75" s="1258" t="s">
        <v>64</v>
      </c>
      <c r="B75" s="1258" t="s">
        <v>723</v>
      </c>
      <c r="C75" s="1271" t="s">
        <v>719</v>
      </c>
      <c r="D75" s="1259">
        <v>18258193</v>
      </c>
      <c r="E75" s="445"/>
      <c r="F75" s="327"/>
    </row>
    <row r="76" spans="1:6">
      <c r="A76" s="1258" t="s">
        <v>64</v>
      </c>
      <c r="B76" s="1258" t="s">
        <v>724</v>
      </c>
      <c r="C76" s="1271" t="s">
        <v>720</v>
      </c>
      <c r="D76" s="1259">
        <v>300370.22726313898</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625601.54547372204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4331.6171313413752</v>
      </c>
      <c r="C91" s="327"/>
      <c r="D91" s="327"/>
      <c r="E91" s="327"/>
      <c r="F91" s="327"/>
    </row>
    <row r="92" spans="1:6">
      <c r="A92" s="1253" t="s">
        <v>68</v>
      </c>
      <c r="B92" s="1254">
        <v>3841.896033189827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913</v>
      </c>
      <c r="C97" s="327"/>
      <c r="D97" s="327"/>
      <c r="E97" s="327"/>
      <c r="F97" s="327"/>
    </row>
    <row r="98" spans="1:6">
      <c r="A98" s="1258" t="s">
        <v>71</v>
      </c>
      <c r="B98" s="1259">
        <v>1</v>
      </c>
      <c r="C98" s="327"/>
      <c r="D98" s="327"/>
      <c r="E98" s="327"/>
      <c r="F98" s="327"/>
    </row>
    <row r="99" spans="1:6">
      <c r="A99" s="1258" t="s">
        <v>72</v>
      </c>
      <c r="B99" s="1259">
        <v>40</v>
      </c>
      <c r="C99" s="327"/>
      <c r="D99" s="327"/>
      <c r="E99" s="327"/>
      <c r="F99" s="327"/>
    </row>
    <row r="100" spans="1:6">
      <c r="A100" s="1258" t="s">
        <v>73</v>
      </c>
      <c r="B100" s="1259">
        <v>210</v>
      </c>
      <c r="C100" s="327"/>
      <c r="D100" s="327"/>
      <c r="E100" s="327"/>
      <c r="F100" s="327"/>
    </row>
    <row r="101" spans="1:6">
      <c r="A101" s="1258" t="s">
        <v>74</v>
      </c>
      <c r="B101" s="1259">
        <v>42</v>
      </c>
      <c r="C101" s="327"/>
      <c r="D101" s="327"/>
      <c r="E101" s="327"/>
      <c r="F101" s="327"/>
    </row>
    <row r="102" spans="1:6">
      <c r="A102" s="1258" t="s">
        <v>75</v>
      </c>
      <c r="B102" s="1259">
        <v>57</v>
      </c>
      <c r="C102" s="327"/>
      <c r="D102" s="327"/>
      <c r="E102" s="327"/>
      <c r="F102" s="327"/>
    </row>
    <row r="103" spans="1:6">
      <c r="A103" s="1258" t="s">
        <v>76</v>
      </c>
      <c r="B103" s="1259">
        <v>93</v>
      </c>
      <c r="C103" s="327"/>
      <c r="D103" s="327"/>
      <c r="E103" s="327"/>
      <c r="F103" s="327"/>
    </row>
    <row r="104" spans="1:6">
      <c r="A104" s="1258" t="s">
        <v>77</v>
      </c>
      <c r="B104" s="1259">
        <v>3845</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18</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48</v>
      </c>
      <c r="C129" s="327"/>
      <c r="D129" s="327"/>
      <c r="E129" s="327"/>
      <c r="F129" s="327"/>
    </row>
    <row r="130" spans="1:6">
      <c r="A130" s="1258" t="s">
        <v>284</v>
      </c>
      <c r="B130" s="1259">
        <v>3</v>
      </c>
      <c r="C130" s="327"/>
      <c r="D130" s="327"/>
      <c r="E130" s="327"/>
      <c r="F130" s="327"/>
    </row>
    <row r="131" spans="1:6">
      <c r="A131" s="1258" t="s">
        <v>285</v>
      </c>
      <c r="B131" s="1259">
        <v>3</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104580.77369631338</v>
      </c>
      <c r="C3" s="44" t="s">
        <v>163</v>
      </c>
      <c r="D3" s="44"/>
      <c r="E3" s="157"/>
      <c r="F3" s="44"/>
      <c r="G3" s="44"/>
      <c r="H3" s="44"/>
      <c r="I3" s="44"/>
      <c r="J3" s="44"/>
      <c r="K3" s="97"/>
    </row>
    <row r="4" spans="1:11">
      <c r="A4" s="352" t="s">
        <v>164</v>
      </c>
      <c r="B4" s="50">
        <f>IF(ISERROR('SEAP template'!B78+'SEAP template'!C78),0,'SEAP template'!B78+'SEAP template'!C78)</f>
        <v>8304.463164531202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0.2034510156647838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187.07142857142856</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1130.845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1130.845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0.2034510156647838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230.07156380944244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24790.968000000001</v>
      </c>
      <c r="C5" s="18">
        <f>IF(ISERROR('Eigen informatie GS &amp; warmtenet'!B57),0,'Eigen informatie GS &amp; warmtenet'!B57)</f>
        <v>0</v>
      </c>
      <c r="D5" s="31">
        <f>(SUM(HH_hh_gas_kWh,HH_rest_gas_kWh)/1000)*0.902</f>
        <v>40864.152977999998</v>
      </c>
      <c r="E5" s="18">
        <f>B32*B41</f>
        <v>1840.6832730419446</v>
      </c>
      <c r="F5" s="18">
        <f>B36*B45</f>
        <v>56117.08894691967</v>
      </c>
      <c r="G5" s="19"/>
      <c r="H5" s="18"/>
      <c r="I5" s="18"/>
      <c r="J5" s="18">
        <f>B35*B44+C35*C44</f>
        <v>1018.2250251760001</v>
      </c>
      <c r="K5" s="18"/>
      <c r="L5" s="18"/>
      <c r="M5" s="18"/>
      <c r="N5" s="18">
        <f>B34*B43+C34*C43</f>
        <v>9410.0736639045263</v>
      </c>
      <c r="O5" s="18">
        <f>B52*B53*B54</f>
        <v>103.17999999999999</v>
      </c>
      <c r="P5" s="18">
        <f>B60*B61*B62/1000-B60*B61*B62/1000/B63</f>
        <v>305.06666666666666</v>
      </c>
    </row>
    <row r="6" spans="1:16">
      <c r="A6" s="17" t="s">
        <v>597</v>
      </c>
      <c r="B6" s="731">
        <f>kWh_PV_kleiner_dan_10kW</f>
        <v>4331.6171313413752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29122.585131341377</v>
      </c>
      <c r="C8" s="22">
        <f>C5</f>
        <v>0</v>
      </c>
      <c r="D8" s="22">
        <f>D5</f>
        <v>40864.152977999998</v>
      </c>
      <c r="E8" s="22">
        <f>E5</f>
        <v>1840.6832730419446</v>
      </c>
      <c r="F8" s="22">
        <f>F5</f>
        <v>56117.08894691967</v>
      </c>
      <c r="G8" s="22"/>
      <c r="H8" s="22"/>
      <c r="I8" s="22"/>
      <c r="J8" s="22">
        <f>J5</f>
        <v>1018.2250251760001</v>
      </c>
      <c r="K8" s="22"/>
      <c r="L8" s="22">
        <f>L5</f>
        <v>0</v>
      </c>
      <c r="M8" s="22">
        <f>M5</f>
        <v>0</v>
      </c>
      <c r="N8" s="22">
        <f>N5</f>
        <v>9410.0736639045263</v>
      </c>
      <c r="O8" s="22">
        <f>O5</f>
        <v>103.17999999999999</v>
      </c>
      <c r="P8" s="22">
        <f>P5</f>
        <v>305.06666666666666</v>
      </c>
    </row>
    <row r="9" spans="1:16">
      <c r="B9" s="20"/>
      <c r="C9" s="20"/>
      <c r="D9" s="258"/>
      <c r="E9" s="20"/>
      <c r="F9" s="20"/>
      <c r="G9" s="20"/>
      <c r="H9" s="20"/>
      <c r="I9" s="20"/>
      <c r="J9" s="20"/>
      <c r="K9" s="20"/>
      <c r="L9" s="20"/>
      <c r="M9" s="20"/>
      <c r="N9" s="20"/>
      <c r="O9" s="20"/>
      <c r="P9" s="20"/>
    </row>
    <row r="10" spans="1:16">
      <c r="A10" s="25" t="s">
        <v>207</v>
      </c>
      <c r="B10" s="26">
        <f ca="1">'EF ele_warmte'!B12</f>
        <v>0.2034510156647838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5925.0195237555345</v>
      </c>
      <c r="C12" s="24">
        <f ca="1">C10*C8</f>
        <v>0</v>
      </c>
      <c r="D12" s="24">
        <f>D8*D10</f>
        <v>8254.5589015559999</v>
      </c>
      <c r="E12" s="24">
        <f>E10*E8</f>
        <v>417.83510298052147</v>
      </c>
      <c r="F12" s="24">
        <f>F10*F8</f>
        <v>14983.262748827552</v>
      </c>
      <c r="G12" s="24"/>
      <c r="H12" s="24"/>
      <c r="I12" s="24"/>
      <c r="J12" s="24">
        <f>J10*J8</f>
        <v>360.45165891230403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6252</v>
      </c>
      <c r="C26" s="37"/>
      <c r="D26" s="228"/>
    </row>
    <row r="27" spans="1:5" s="16" customFormat="1">
      <c r="A27" s="230" t="s">
        <v>623</v>
      </c>
      <c r="B27" s="38">
        <f>SUM(HH_hh_gas_aantal,HH_rest_gas_aantal)</f>
        <v>2839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2697.05</v>
      </c>
      <c r="C31" s="35" t="s">
        <v>104</v>
      </c>
      <c r="D31" s="174"/>
    </row>
    <row r="32" spans="1:5">
      <c r="A32" s="171" t="s">
        <v>72</v>
      </c>
      <c r="B32" s="34">
        <f>IF((B21*($B$26-($B$27-0.05*$B$27)-$B$60))&lt;0,0,B21*($B$26-($B$27-0.05*$B$27)-$B$60))</f>
        <v>86.970866114928583</v>
      </c>
      <c r="C32" s="35" t="s">
        <v>104</v>
      </c>
      <c r="D32" s="174"/>
    </row>
    <row r="33" spans="1:6">
      <c r="A33" s="171" t="s">
        <v>73</v>
      </c>
      <c r="B33" s="34">
        <f>IF((B22*($B$26-($B$27-0.05*$B$27)-$B$60))&lt;0,0,B22*($B$26-($B$27-0.05*$B$27)-$B$60))</f>
        <v>585.41593182113513</v>
      </c>
      <c r="C33" s="35" t="s">
        <v>104</v>
      </c>
      <c r="D33" s="174"/>
    </row>
    <row r="34" spans="1:6">
      <c r="A34" s="171" t="s">
        <v>74</v>
      </c>
      <c r="B34" s="34">
        <f>IF((B24*($B$26-($B$27-0.05*$B$27)-$B$60))&lt;0,0,B24*($B$26-($B$27-0.05*$B$27)-$B$60))</f>
        <v>148.4738197596003</v>
      </c>
      <c r="C34" s="34">
        <f>B26*C24</f>
        <v>1278.5485525870397</v>
      </c>
      <c r="D34" s="233"/>
    </row>
    <row r="35" spans="1:6">
      <c r="A35" s="171" t="s">
        <v>76</v>
      </c>
      <c r="B35" s="34">
        <f>IF((B19*($B$26-($B$27-0.05*$B$27)-$B$60))&lt;0,0,B19*($B$26-($B$27-0.05*$B$27)-$B$60))</f>
        <v>55.197867599073511</v>
      </c>
      <c r="C35" s="34">
        <f>B35/2</f>
        <v>27.598933799536756</v>
      </c>
      <c r="D35" s="233"/>
    </row>
    <row r="36" spans="1:6">
      <c r="A36" s="171" t="s">
        <v>77</v>
      </c>
      <c r="B36" s="34">
        <f>IF((B18*($B$26-($B$27-0.05*$B$27)-$B$60))&lt;0,0,B18*($B$26-($B$27-0.05*$B$27)-$B$60))</f>
        <v>2662.8915147052612</v>
      </c>
      <c r="C36" s="35" t="s">
        <v>104</v>
      </c>
      <c r="D36" s="174"/>
    </row>
    <row r="37" spans="1:6">
      <c r="A37" s="171" t="s">
        <v>78</v>
      </c>
      <c r="B37" s="34">
        <f>B60</f>
        <v>16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66</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30835.781000000003</v>
      </c>
      <c r="C5" s="18">
        <f>IF(ISERROR('Eigen informatie GS &amp; warmtenet'!B58),0,'Eigen informatie GS &amp; warmtenet'!B58)</f>
        <v>0</v>
      </c>
      <c r="D5" s="31">
        <f>SUM(D6:D12)</f>
        <v>19706.417939999999</v>
      </c>
      <c r="E5" s="18">
        <f>SUM(E6:E12)</f>
        <v>239.27839833932919</v>
      </c>
      <c r="F5" s="18">
        <f>SUM(F6:F12)</f>
        <v>6296.1000877848855</v>
      </c>
      <c r="G5" s="19"/>
      <c r="H5" s="18"/>
      <c r="I5" s="18"/>
      <c r="J5" s="18">
        <f>SUM(J6:J12)</f>
        <v>0</v>
      </c>
      <c r="K5" s="18"/>
      <c r="L5" s="18"/>
      <c r="M5" s="18"/>
      <c r="N5" s="18">
        <f>SUM(N6:N12)</f>
        <v>2286.7152614697288</v>
      </c>
      <c r="O5" s="18">
        <f>B38*B39*B40</f>
        <v>4.6900000000000004</v>
      </c>
      <c r="P5" s="18">
        <f>B46*B47*B48/1000-B46*B47*B48/1000/B49</f>
        <v>57.2</v>
      </c>
      <c r="R5" s="33"/>
    </row>
    <row r="6" spans="1:18">
      <c r="A6" s="33" t="s">
        <v>53</v>
      </c>
      <c r="B6" s="38">
        <f>B26</f>
        <v>7701.6459999999997</v>
      </c>
      <c r="C6" s="34"/>
      <c r="D6" s="38">
        <f>IF(ISERROR(TER_kantoor_gas_kWh/1000),0,TER_kantoor_gas_kWh/1000)*0.902</f>
        <v>6637.7350160000005</v>
      </c>
      <c r="E6" s="34">
        <f>$C$26*'E Balans VL '!I12/100/3.6*1000000</f>
        <v>12.580870338326578</v>
      </c>
      <c r="F6" s="34">
        <f>$C$26*('E Balans VL '!L12+'E Balans VL '!N12)/100/3.6*1000000</f>
        <v>904.80500320980809</v>
      </c>
      <c r="G6" s="35"/>
      <c r="H6" s="34"/>
      <c r="I6" s="34"/>
      <c r="J6" s="34">
        <f>$C$26*('E Balans VL '!D12+'E Balans VL '!E12)/100/3.6*1000000</f>
        <v>0</v>
      </c>
      <c r="K6" s="34"/>
      <c r="L6" s="34"/>
      <c r="M6" s="34"/>
      <c r="N6" s="34">
        <f>$C$26*'E Balans VL '!Y12/100/3.6*1000000</f>
        <v>56.0778333552242</v>
      </c>
      <c r="O6" s="34"/>
      <c r="P6" s="34"/>
      <c r="R6" s="33"/>
    </row>
    <row r="7" spans="1:18">
      <c r="A7" s="33" t="s">
        <v>52</v>
      </c>
      <c r="B7" s="38">
        <f t="shared" ref="B7:B12" si="0">B27</f>
        <v>2229.7820000000002</v>
      </c>
      <c r="C7" s="34"/>
      <c r="D7" s="38">
        <f>IF(ISERROR(TER_horeca_gas_kWh/1000),0,TER_horeca_gas_kWh/1000)*0.902</f>
        <v>2149.838526</v>
      </c>
      <c r="E7" s="34">
        <f>$C$27*'E Balans VL '!I9/100/3.6*1000000</f>
        <v>115.36211187626793</v>
      </c>
      <c r="F7" s="34">
        <f>$C$27*('E Balans VL '!L9+'E Balans VL '!N9)/100/3.6*1000000</f>
        <v>507.30999250461002</v>
      </c>
      <c r="G7" s="35"/>
      <c r="H7" s="34"/>
      <c r="I7" s="34"/>
      <c r="J7" s="34">
        <f>$C$27*('E Balans VL '!D9+'E Balans VL '!E9)/100/3.6*1000000</f>
        <v>0</v>
      </c>
      <c r="K7" s="34"/>
      <c r="L7" s="34"/>
      <c r="M7" s="34"/>
      <c r="N7" s="34">
        <f>$C$27*'E Balans VL '!Y9/100/3.6*1000000</f>
        <v>0.23475707216944416</v>
      </c>
      <c r="O7" s="34"/>
      <c r="P7" s="34"/>
      <c r="R7" s="33"/>
    </row>
    <row r="8" spans="1:18">
      <c r="A8" s="6" t="s">
        <v>51</v>
      </c>
      <c r="B8" s="38">
        <f t="shared" si="0"/>
        <v>13745.915000000001</v>
      </c>
      <c r="C8" s="34"/>
      <c r="D8" s="38">
        <f>IF(ISERROR(TER_handel_gas_kWh/1000),0,TER_handel_gas_kWh/1000)*0.902</f>
        <v>4287.8500279999998</v>
      </c>
      <c r="E8" s="34">
        <f>$C$28*'E Balans VL '!I13/100/3.6*1000000</f>
        <v>72.203800168184401</v>
      </c>
      <c r="F8" s="34">
        <f>$C$28*('E Balans VL '!L13+'E Balans VL '!N13)/100/3.6*1000000</f>
        <v>2591.5653334502276</v>
      </c>
      <c r="G8" s="35"/>
      <c r="H8" s="34"/>
      <c r="I8" s="34"/>
      <c r="J8" s="34">
        <f>$C$28*('E Balans VL '!D13+'E Balans VL '!E13)/100/3.6*1000000</f>
        <v>0</v>
      </c>
      <c r="K8" s="34"/>
      <c r="L8" s="34"/>
      <c r="M8" s="34"/>
      <c r="N8" s="34">
        <f>$C$28*'E Balans VL '!Y13/100/3.6*1000000</f>
        <v>68.145979555087905</v>
      </c>
      <c r="O8" s="34"/>
      <c r="P8" s="34"/>
      <c r="R8" s="33"/>
    </row>
    <row r="9" spans="1:18">
      <c r="A9" s="33" t="s">
        <v>50</v>
      </c>
      <c r="B9" s="38">
        <f t="shared" si="0"/>
        <v>1915.472</v>
      </c>
      <c r="C9" s="34"/>
      <c r="D9" s="38">
        <f>IF(ISERROR(TER_gezond_gas_kWh/1000),0,TER_gezond_gas_kWh/1000)*0.902</f>
        <v>3831.5471700000003</v>
      </c>
      <c r="E9" s="34">
        <f>$C$29*'E Balans VL '!I10/100/3.6*1000000</f>
        <v>1.7004478007136661</v>
      </c>
      <c r="F9" s="34">
        <f>$C$29*('E Balans VL '!L10+'E Balans VL '!N10)/100/3.6*1000000</f>
        <v>595.35782334915416</v>
      </c>
      <c r="G9" s="35"/>
      <c r="H9" s="34"/>
      <c r="I9" s="34"/>
      <c r="J9" s="34">
        <f>$C$29*('E Balans VL '!D10+'E Balans VL '!E10)/100/3.6*1000000</f>
        <v>0</v>
      </c>
      <c r="K9" s="34"/>
      <c r="L9" s="34"/>
      <c r="M9" s="34"/>
      <c r="N9" s="34">
        <f>$C$29*'E Balans VL '!Y10/100/3.6*1000000</f>
        <v>14.785512865294137</v>
      </c>
      <c r="O9" s="34"/>
      <c r="P9" s="34"/>
      <c r="R9" s="33"/>
    </row>
    <row r="10" spans="1:18">
      <c r="A10" s="33" t="s">
        <v>49</v>
      </c>
      <c r="B10" s="38">
        <f t="shared" si="0"/>
        <v>4514.665</v>
      </c>
      <c r="C10" s="34"/>
      <c r="D10" s="38">
        <f>IF(ISERROR(TER_ander_gas_kWh/1000),0,TER_ander_gas_kWh/1000)*0.902</f>
        <v>1321.676246</v>
      </c>
      <c r="E10" s="34">
        <f>$C$30*'E Balans VL '!I14/100/3.6*1000000</f>
        <v>36.823571139448966</v>
      </c>
      <c r="F10" s="34">
        <f>$C$30*('E Balans VL '!L14+'E Balans VL '!N14)/100/3.6*1000000</f>
        <v>1315.9410276528577</v>
      </c>
      <c r="G10" s="35"/>
      <c r="H10" s="34"/>
      <c r="I10" s="34"/>
      <c r="J10" s="34">
        <f>$C$30*('E Balans VL '!D14+'E Balans VL '!E14)/100/3.6*1000000</f>
        <v>0</v>
      </c>
      <c r="K10" s="34"/>
      <c r="L10" s="34"/>
      <c r="M10" s="34"/>
      <c r="N10" s="34">
        <f>$C$30*'E Balans VL '!Y14/100/3.6*1000000</f>
        <v>2144.2646273778291</v>
      </c>
      <c r="O10" s="34"/>
      <c r="P10" s="34"/>
      <c r="R10" s="33"/>
    </row>
    <row r="11" spans="1:18">
      <c r="A11" s="33" t="s">
        <v>54</v>
      </c>
      <c r="B11" s="38">
        <f t="shared" si="0"/>
        <v>728.30100000000004</v>
      </c>
      <c r="C11" s="34"/>
      <c r="D11" s="38">
        <f>IF(ISERROR(TER_onderwijs_gas_kWh/1000),0,TER_onderwijs_gas_kWh/1000)*0.902</f>
        <v>1477.7709540000001</v>
      </c>
      <c r="E11" s="34">
        <f>$C$31*'E Balans VL '!I11/100/3.6*1000000</f>
        <v>0.60759701638765307</v>
      </c>
      <c r="F11" s="34">
        <f>$C$31*('E Balans VL '!L11+'E Balans VL '!N11)/100/3.6*1000000</f>
        <v>381.12090761822799</v>
      </c>
      <c r="G11" s="35"/>
      <c r="H11" s="34"/>
      <c r="I11" s="34"/>
      <c r="J11" s="34">
        <f>$C$31*('E Balans VL '!D11+'E Balans VL '!E11)/100/3.6*1000000</f>
        <v>0</v>
      </c>
      <c r="K11" s="34"/>
      <c r="L11" s="34"/>
      <c r="M11" s="34"/>
      <c r="N11" s="34">
        <f>$C$31*'E Balans VL '!Y11/100/3.6*1000000</f>
        <v>3.2065512441241042</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energieproductie'!N39+'lokale energieproductie'!N32</f>
        <v>0</v>
      </c>
      <c r="C13" s="246">
        <f ca="1">'lokale energieproductie'!O39+'lokale energieproductie'!O32</f>
        <v>0</v>
      </c>
      <c r="D13" s="305">
        <f ca="1">('lokale energieproductie'!P32+'lokale energieproductie'!P39)*(-1)</f>
        <v>0</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30835.781000000003</v>
      </c>
      <c r="C16" s="22">
        <f t="shared" ca="1" si="1"/>
        <v>0</v>
      </c>
      <c r="D16" s="22">
        <f t="shared" ca="1" si="1"/>
        <v>19706.417939999999</v>
      </c>
      <c r="E16" s="22">
        <f t="shared" si="1"/>
        <v>239.27839833932919</v>
      </c>
      <c r="F16" s="22">
        <f t="shared" ca="1" si="1"/>
        <v>6296.1000877848855</v>
      </c>
      <c r="G16" s="22">
        <f t="shared" si="1"/>
        <v>0</v>
      </c>
      <c r="H16" s="22">
        <f t="shared" si="1"/>
        <v>0</v>
      </c>
      <c r="I16" s="22">
        <f t="shared" si="1"/>
        <v>0</v>
      </c>
      <c r="J16" s="22">
        <f t="shared" si="1"/>
        <v>0</v>
      </c>
      <c r="K16" s="22">
        <f t="shared" si="1"/>
        <v>0</v>
      </c>
      <c r="L16" s="22">
        <f t="shared" ca="1" si="1"/>
        <v>0</v>
      </c>
      <c r="M16" s="22">
        <f t="shared" si="1"/>
        <v>0</v>
      </c>
      <c r="N16" s="22">
        <f t="shared" ca="1" si="1"/>
        <v>2286.7152614697288</v>
      </c>
      <c r="O16" s="22">
        <f>O5</f>
        <v>4.6900000000000004</v>
      </c>
      <c r="P16" s="22">
        <f>P5</f>
        <v>57.2</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0.2034510156647838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6273.5709632668431</v>
      </c>
      <c r="C20" s="24">
        <f t="shared" ref="C20:P20" ca="1" si="2">C16*C18</f>
        <v>0</v>
      </c>
      <c r="D20" s="24">
        <f t="shared" ca="1" si="2"/>
        <v>3980.6964238800001</v>
      </c>
      <c r="E20" s="24">
        <f t="shared" si="2"/>
        <v>54.316196423027726</v>
      </c>
      <c r="F20" s="24">
        <f t="shared" ca="1" si="2"/>
        <v>1681.0587234385646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7701.6459999999997</v>
      </c>
      <c r="C26" s="40">
        <f>IF(ISERROR(B26*3.6/1000000/'E Balans VL '!Z12*100),0,B26*3.6/1000000/'E Balans VL '!Z12*100)</f>
        <v>0.16323682097560921</v>
      </c>
      <c r="D26" s="236" t="s">
        <v>660</v>
      </c>
      <c r="F26" s="6"/>
    </row>
    <row r="27" spans="1:18">
      <c r="A27" s="231" t="s">
        <v>52</v>
      </c>
      <c r="B27" s="34">
        <f>IF(ISERROR(TER_horeca_ele_kWh/1000),0,TER_horeca_ele_kWh/1000)</f>
        <v>2229.7820000000002</v>
      </c>
      <c r="C27" s="40">
        <f>IF(ISERROR(B27*3.6/1000000/'E Balans VL '!Z9*100),0,B27*3.6/1000000/'E Balans VL '!Z9*100)</f>
        <v>0.17497421528157328</v>
      </c>
      <c r="D27" s="236" t="s">
        <v>660</v>
      </c>
      <c r="F27" s="6"/>
    </row>
    <row r="28" spans="1:18">
      <c r="A28" s="171" t="s">
        <v>51</v>
      </c>
      <c r="B28" s="34">
        <f>IF(ISERROR(TER_handel_ele_kWh/1000),0,TER_handel_ele_kWh/1000)</f>
        <v>13745.915000000001</v>
      </c>
      <c r="C28" s="40">
        <f>IF(ISERROR(B28*3.6/1000000/'E Balans VL '!Z13*100),0,B28*3.6/1000000/'E Balans VL '!Z13*100)</f>
        <v>0.38387453769591645</v>
      </c>
      <c r="D28" s="236" t="s">
        <v>660</v>
      </c>
      <c r="F28" s="6"/>
    </row>
    <row r="29" spans="1:18">
      <c r="A29" s="231" t="s">
        <v>50</v>
      </c>
      <c r="B29" s="34">
        <f>IF(ISERROR(TER_gezond_ele_kWh/1000),0,TER_gezond_ele_kWh/1000)</f>
        <v>1915.472</v>
      </c>
      <c r="C29" s="40">
        <f>IF(ISERROR(B29*3.6/1000000/'E Balans VL '!Z10*100),0,B29*3.6/1000000/'E Balans VL '!Z10*100)</f>
        <v>0.21951180313217908</v>
      </c>
      <c r="D29" s="236" t="s">
        <v>660</v>
      </c>
      <c r="F29" s="6"/>
    </row>
    <row r="30" spans="1:18">
      <c r="A30" s="231" t="s">
        <v>49</v>
      </c>
      <c r="B30" s="34">
        <f>IF(ISERROR(TER_ander_ele_kWh/1000),0,TER_ander_ele_kWh/1000)</f>
        <v>4514.665</v>
      </c>
      <c r="C30" s="40">
        <f>IF(ISERROR(B30*3.6/1000000/'E Balans VL '!Z14*100),0,B30*3.6/1000000/'E Balans VL '!Z14*100)</f>
        <v>0.33664521664277913</v>
      </c>
      <c r="D30" s="236" t="s">
        <v>660</v>
      </c>
      <c r="F30" s="6"/>
    </row>
    <row r="31" spans="1:18">
      <c r="A31" s="231" t="s">
        <v>54</v>
      </c>
      <c r="B31" s="34">
        <f>IF(ISERROR(TER_onderwijs_ele_kWh/1000),0,TER_onderwijs_ele_kWh/1000)</f>
        <v>728.30100000000004</v>
      </c>
      <c r="C31" s="40">
        <f>IF(ISERROR(B31*3.6/1000000/'E Balans VL '!Z11*100),0,B31*3.6/1000000/'E Balans VL '!Z11*100)</f>
        <v>0.20815003207556665</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3</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36997.619999999995</v>
      </c>
      <c r="C5" s="18">
        <f>IF(ISERROR('Eigen informatie GS &amp; warmtenet'!B59),0,'Eigen informatie GS &amp; warmtenet'!B59)</f>
        <v>0</v>
      </c>
      <c r="D5" s="31">
        <f>SUM(D6:D15)</f>
        <v>119192.190436</v>
      </c>
      <c r="E5" s="18">
        <f>SUM(E6:E15)</f>
        <v>357.33161015567714</v>
      </c>
      <c r="F5" s="18">
        <f>SUM(F6:F15)</f>
        <v>5684.1273499895215</v>
      </c>
      <c r="G5" s="19"/>
      <c r="H5" s="18"/>
      <c r="I5" s="18"/>
      <c r="J5" s="18">
        <f>SUM(J6:J15)</f>
        <v>163.66116620722363</v>
      </c>
      <c r="K5" s="18"/>
      <c r="L5" s="18"/>
      <c r="M5" s="18"/>
      <c r="N5" s="18">
        <f>SUM(N6:N15)</f>
        <v>593.46057336553804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9670.4619999999995</v>
      </c>
      <c r="C8" s="34"/>
      <c r="D8" s="38">
        <f>IF( ISERROR(IND_metaal_Gas_kWH/1000),0,IND_metaal_Gas_kWH/1000)*0.902</f>
        <v>2763.3067660000002</v>
      </c>
      <c r="E8" s="34">
        <f>C30*'E Balans VL '!I18/100/3.6*1000000</f>
        <v>88.067154697274532</v>
      </c>
      <c r="F8" s="34">
        <f>C30*'E Balans VL '!L18/100/3.6*1000000+C30*'E Balans VL '!N18/100/3.6*1000000</f>
        <v>1275.4604990502221</v>
      </c>
      <c r="G8" s="35"/>
      <c r="H8" s="34"/>
      <c r="I8" s="34"/>
      <c r="J8" s="41">
        <f>C30*'E Balans VL '!D18/100/3.6*1000000+C30*'E Balans VL '!E18/100/3.6*1000000</f>
        <v>158.58153579477747</v>
      </c>
      <c r="K8" s="34"/>
      <c r="L8" s="34"/>
      <c r="M8" s="34"/>
      <c r="N8" s="34">
        <f>C30*'E Balans VL '!Y18/100/3.6*1000000</f>
        <v>33.233536312824903</v>
      </c>
      <c r="O8" s="34"/>
      <c r="P8" s="34"/>
      <c r="R8" s="33"/>
    </row>
    <row r="9" spans="1:18">
      <c r="A9" s="6" t="s">
        <v>32</v>
      </c>
      <c r="B9" s="38">
        <f t="shared" si="0"/>
        <v>1849.5229999999999</v>
      </c>
      <c r="C9" s="34"/>
      <c r="D9" s="38">
        <f>IF( ISERROR(IND_andere_gas_kWh/1000),0,IND_andere_gas_kWh/1000)*0.902</f>
        <v>1252.7598379999999</v>
      </c>
      <c r="E9" s="34">
        <f>C31*'E Balans VL '!I19/100/3.6*1000000</f>
        <v>10.690519328351446</v>
      </c>
      <c r="F9" s="34">
        <f>C31*'E Balans VL '!L19/100/3.6*1000000+C31*'E Balans VL '!N19/100/3.6*1000000</f>
        <v>1471.3845420250777</v>
      </c>
      <c r="G9" s="35"/>
      <c r="H9" s="34"/>
      <c r="I9" s="34"/>
      <c r="J9" s="41">
        <f>C31*'E Balans VL '!D19/100/3.6*1000000+C31*'E Balans VL '!E19/100/3.6*1000000</f>
        <v>0.17494433188039779</v>
      </c>
      <c r="K9" s="34"/>
      <c r="L9" s="34"/>
      <c r="M9" s="34"/>
      <c r="N9" s="34">
        <f>C31*'E Balans VL '!Y19/100/3.6*1000000</f>
        <v>140.12935664982584</v>
      </c>
      <c r="O9" s="34"/>
      <c r="P9" s="34"/>
      <c r="R9" s="33"/>
    </row>
    <row r="10" spans="1:18">
      <c r="A10" s="6" t="s">
        <v>40</v>
      </c>
      <c r="B10" s="38">
        <f t="shared" si="0"/>
        <v>24520.868999999999</v>
      </c>
      <c r="C10" s="34"/>
      <c r="D10" s="38">
        <f>IF( ISERROR(IND_voed_gas_kWh/1000),0,IND_voed_gas_kWh/1000)*0.902</f>
        <v>113582.111236</v>
      </c>
      <c r="E10" s="34">
        <f>C32*'E Balans VL '!I20/100/3.6*1000000</f>
        <v>241.10429257367218</v>
      </c>
      <c r="F10" s="34">
        <f>C32*'E Balans VL '!L20/100/3.6*1000000+C32*'E Balans VL '!N20/100/3.6*1000000</f>
        <v>2723.3625646332293</v>
      </c>
      <c r="G10" s="35"/>
      <c r="H10" s="34"/>
      <c r="I10" s="34"/>
      <c r="J10" s="41">
        <f>C32*'E Balans VL '!D20/100/3.6*1000000+C32*'E Balans VL '!E20/100/3.6*1000000</f>
        <v>9.6647876533699661E-2</v>
      </c>
      <c r="K10" s="34"/>
      <c r="L10" s="34"/>
      <c r="M10" s="34"/>
      <c r="N10" s="34">
        <f>C32*'E Balans VL '!Y20/100/3.6*1000000</f>
        <v>363.09639072628249</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365.61500000000001</v>
      </c>
      <c r="C12" s="34"/>
      <c r="D12" s="38">
        <f>IF( ISERROR(IND_min_gas_kWh/1000),0,IND_min_gas_kWh/1000)*0.902</f>
        <v>94.072286000000005</v>
      </c>
      <c r="E12" s="34">
        <f>C34*'E Balans VL '!I22/100/3.6*1000000</f>
        <v>9.2689908600928987</v>
      </c>
      <c r="F12" s="34">
        <f>C34*'E Balans VL '!L22/100/3.6*1000000+C34*'E Balans VL '!N22/100/3.6*1000000</f>
        <v>101.16694488408906</v>
      </c>
      <c r="G12" s="35"/>
      <c r="H12" s="34"/>
      <c r="I12" s="34"/>
      <c r="J12" s="41">
        <f>C34*'E Balans VL '!D22/100/3.6*1000000+C34*'E Balans VL '!E22/100/3.6*1000000</f>
        <v>2.4145949306734802</v>
      </c>
      <c r="K12" s="34"/>
      <c r="L12" s="34"/>
      <c r="M12" s="34"/>
      <c r="N12" s="34">
        <f>C34*'E Balans VL '!Y22/100/3.6*1000000</f>
        <v>0</v>
      </c>
      <c r="O12" s="34"/>
      <c r="P12" s="34"/>
      <c r="R12" s="33"/>
    </row>
    <row r="13" spans="1:18">
      <c r="A13" s="6" t="s">
        <v>38</v>
      </c>
      <c r="B13" s="38">
        <f t="shared" si="0"/>
        <v>115.20099999999999</v>
      </c>
      <c r="C13" s="34"/>
      <c r="D13" s="38">
        <f>IF( ISERROR(IND_papier_gas_kWh/1000),0,IND_papier_gas_kWh/1000)*0.902</f>
        <v>150.017934</v>
      </c>
      <c r="E13" s="34">
        <f>C35*'E Balans VL '!I23/100/3.6*1000000</f>
        <v>3.9239130906510495</v>
      </c>
      <c r="F13" s="34">
        <f>C35*'E Balans VL '!L23/100/3.6*1000000+C35*'E Balans VL '!N23/100/3.6*1000000</f>
        <v>19.028501490728878</v>
      </c>
      <c r="G13" s="35"/>
      <c r="H13" s="34"/>
      <c r="I13" s="34"/>
      <c r="J13" s="41">
        <f>C35*'E Balans VL '!D23/100/3.6*1000000+C35*'E Balans VL '!E23/100/3.6*1000000</f>
        <v>0</v>
      </c>
      <c r="K13" s="34"/>
      <c r="L13" s="34"/>
      <c r="M13" s="34"/>
      <c r="N13" s="34">
        <f>C35*'E Balans VL '!Y23/100/3.6*1000000</f>
        <v>42.390878548674429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475.95</v>
      </c>
      <c r="C15" s="34"/>
      <c r="D15" s="38">
        <f>IF( ISERROR(IND_rest_gas_kWh/1000),0,IND_rest_gas_kWh/1000)*0.902</f>
        <v>1349.922376</v>
      </c>
      <c r="E15" s="34">
        <f>C37*'E Balans VL '!I15/100/3.6*1000000</f>
        <v>4.2767396056349636</v>
      </c>
      <c r="F15" s="34">
        <f>C37*'E Balans VL '!L15/100/3.6*1000000+C37*'E Balans VL '!N15/100/3.6*1000000</f>
        <v>93.724297906174527</v>
      </c>
      <c r="G15" s="35"/>
      <c r="H15" s="34"/>
      <c r="I15" s="34"/>
      <c r="J15" s="41">
        <f>C37*'E Balans VL '!D15/100/3.6*1000000+C37*'E Balans VL '!E15/100/3.6*1000000</f>
        <v>2.3934432733585864</v>
      </c>
      <c r="K15" s="34"/>
      <c r="L15" s="34"/>
      <c r="M15" s="34"/>
      <c r="N15" s="34">
        <f>C37*'E Balans VL '!Y15/100/3.6*1000000</f>
        <v>14.610411127930302</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36997.619999999995</v>
      </c>
      <c r="C18" s="22">
        <f>C5+C16</f>
        <v>0</v>
      </c>
      <c r="D18" s="22">
        <f>MAX((D5+D16),0)</f>
        <v>119192.190436</v>
      </c>
      <c r="E18" s="22">
        <f>MAX((E5+E16),0)</f>
        <v>357.33161015567714</v>
      </c>
      <c r="F18" s="22">
        <f>MAX((F5+F16),0)</f>
        <v>5684.1273499895215</v>
      </c>
      <c r="G18" s="22"/>
      <c r="H18" s="22"/>
      <c r="I18" s="22"/>
      <c r="J18" s="22">
        <f>MAX((J5+J16),0)</f>
        <v>163.66116620722363</v>
      </c>
      <c r="K18" s="22"/>
      <c r="L18" s="22">
        <f>MAX((L5+L16),0)</f>
        <v>0</v>
      </c>
      <c r="M18" s="22"/>
      <c r="N18" s="22">
        <f>MAX((N5+N16),0)</f>
        <v>593.46057336553804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0.2034510156647838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7527.2033661797177</v>
      </c>
      <c r="C22" s="24">
        <f ca="1">C18*C20</f>
        <v>0</v>
      </c>
      <c r="D22" s="24">
        <f>D18*D20</f>
        <v>24076.822468072001</v>
      </c>
      <c r="E22" s="24">
        <f>E18*E20</f>
        <v>81.114275505338711</v>
      </c>
      <c r="F22" s="24">
        <f>F18*F20</f>
        <v>1517.6620024472022</v>
      </c>
      <c r="G22" s="24"/>
      <c r="H22" s="24"/>
      <c r="I22" s="24"/>
      <c r="J22" s="24">
        <f>J18*J20</f>
        <v>57.93605283735716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9670.4619999999995</v>
      </c>
      <c r="C30" s="40">
        <f>IF(ISERROR(B30*3.6/1000000/'E Balans VL '!Z18*100),0,B30*3.6/1000000/'E Balans VL '!Z18*100)</f>
        <v>0.53809654447542199</v>
      </c>
      <c r="D30" s="236" t="s">
        <v>660</v>
      </c>
    </row>
    <row r="31" spans="1:18">
      <c r="A31" s="6" t="s">
        <v>32</v>
      </c>
      <c r="B31" s="38">
        <f>IF( ISERROR(IND_ander_ele_kWh/1000),0,IND_ander_ele_kWh/1000)</f>
        <v>1849.5229999999999</v>
      </c>
      <c r="C31" s="40">
        <f>IF(ISERROR(B31*3.6/1000000/'E Balans VL '!Z19*100),0,B31*3.6/1000000/'E Balans VL '!Z19*100)</f>
        <v>8.5979466862721121E-2</v>
      </c>
      <c r="D31" s="236" t="s">
        <v>660</v>
      </c>
    </row>
    <row r="32" spans="1:18">
      <c r="A32" s="171" t="s">
        <v>40</v>
      </c>
      <c r="B32" s="38">
        <f>IF( ISERROR(IND_voed_ele_kWh/1000),0,IND_voed_ele_kWh/1000)</f>
        <v>24520.868999999999</v>
      </c>
      <c r="C32" s="40">
        <f>IF(ISERROR(B32*3.6/1000000/'E Balans VL '!Z20*100),0,B32*3.6/1000000/'E Balans VL '!Z20*100)</f>
        <v>0.8667631971577765</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365.61500000000001</v>
      </c>
      <c r="C34" s="40">
        <f>IF(ISERROR(B34*3.6/1000000/'E Balans VL '!Z22*100),0,B34*3.6/1000000/'E Balans VL '!Z22*100)</f>
        <v>7.347830500531391E-2</v>
      </c>
      <c r="D34" s="236" t="s">
        <v>660</v>
      </c>
    </row>
    <row r="35" spans="1:5">
      <c r="A35" s="171" t="s">
        <v>38</v>
      </c>
      <c r="B35" s="38">
        <f>IF( ISERROR(IND_papier_ele_kWh/1000),0,IND_papier_ele_kWh/1000)</f>
        <v>115.20099999999999</v>
      </c>
      <c r="C35" s="40">
        <f>IF(ISERROR(B35*3.6/1000000/'E Balans VL '!Z22*100),0,B35*3.6/1000000/'E Balans VL '!Z22*100)</f>
        <v>2.3152152441549625E-2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475.95</v>
      </c>
      <c r="C37" s="40">
        <f>IF(ISERROR(B37*3.6/1000000/'E Balans VL '!Z15*100),0,B37*3.6/1000000/'E Balans VL '!Z15*100)</f>
        <v>3.5941255844668951E-3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5736.4970000000003</v>
      </c>
      <c r="C5" s="18">
        <f>'Eigen informatie GS &amp; warmtenet'!B60</f>
        <v>0</v>
      </c>
      <c r="D5" s="31">
        <f>IF(ISERROR(SUM(LB_lb_gas_kWh,LB_rest_gas_kWh)/1000),0,SUM(LB_lb_gas_kWh,LB_rest_gas_kWh)/1000)*0.902</f>
        <v>5014.1223880000007</v>
      </c>
      <c r="E5" s="18">
        <f>B17*'E Balans VL '!I25/3.6*1000000/100</f>
        <v>56.648951965676673</v>
      </c>
      <c r="F5" s="18">
        <f>B17*('E Balans VL '!L25/3.6*1000000+'E Balans VL '!N25/3.6*1000000)/100</f>
        <v>19138.471857455712</v>
      </c>
      <c r="G5" s="19"/>
      <c r="H5" s="18"/>
      <c r="I5" s="18"/>
      <c r="J5" s="18">
        <f>('E Balans VL '!D25+'E Balans VL '!E25)/3.6*1000000*landbouw!B17/100</f>
        <v>572.32828556238337</v>
      </c>
      <c r="K5" s="18"/>
      <c r="L5" s="18">
        <f>L6*(-1)</f>
        <v>0</v>
      </c>
      <c r="M5" s="18"/>
      <c r="N5" s="18">
        <f>N6*(-1)</f>
        <v>374.14285714285711</v>
      </c>
      <c r="O5" s="18"/>
      <c r="P5" s="18"/>
      <c r="R5" s="33"/>
    </row>
    <row r="6" spans="1:18">
      <c r="A6" s="17" t="s">
        <v>488</v>
      </c>
      <c r="B6" s="18" t="s">
        <v>204</v>
      </c>
      <c r="C6" s="18">
        <f>'lokale energieproductie'!O40+'lokale energieproductie'!O33</f>
        <v>187.07142857142856</v>
      </c>
      <c r="D6" s="305">
        <f>('lokale energieproductie'!P33+'lokale energieproductie'!P40)*(-1)</f>
        <v>0</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-374.14285714285711</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5736.4970000000003</v>
      </c>
      <c r="C8" s="22">
        <f>C5+C6</f>
        <v>187.07142857142856</v>
      </c>
      <c r="D8" s="22">
        <f>MAX((D5+D6),0)</f>
        <v>5014.1223880000007</v>
      </c>
      <c r="E8" s="22">
        <f>MAX((E5+E6),0)</f>
        <v>56.648951965676673</v>
      </c>
      <c r="F8" s="22">
        <f>MAX((F5+F6),0)</f>
        <v>19138.471857455712</v>
      </c>
      <c r="G8" s="22"/>
      <c r="H8" s="22"/>
      <c r="I8" s="22"/>
      <c r="J8" s="22">
        <f>MAX((J5+J6),0)</f>
        <v>572.32828556238337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0.2034510156647838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1167.0961410079854</v>
      </c>
      <c r="C12" s="24">
        <f ca="1">C8*C10</f>
        <v>0</v>
      </c>
      <c r="D12" s="24">
        <f>D8*D10</f>
        <v>1012.8527223760002</v>
      </c>
      <c r="E12" s="24">
        <f>E8*E10</f>
        <v>12.859312096208605</v>
      </c>
      <c r="F12" s="24">
        <f>F8*F10</f>
        <v>5109.971985940675</v>
      </c>
      <c r="G12" s="24"/>
      <c r="H12" s="24"/>
      <c r="I12" s="24"/>
      <c r="J12" s="24">
        <f>J8*J10</f>
        <v>202.60421308908371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0.77663002750823351</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779.45175500354969</v>
      </c>
      <c r="C26" s="246">
        <f>B26*'GWP N2O_CH4'!B5</f>
        <v>16368.486855074543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329.41532859076216</v>
      </c>
      <c r="C27" s="246">
        <f>B27*'GWP N2O_CH4'!B5</f>
        <v>6917.7219004060053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11.332269078268109</v>
      </c>
      <c r="C28" s="246">
        <f>B28*'GWP N2O_CH4'!B4</f>
        <v>3513.0034142631139</v>
      </c>
      <c r="D28" s="51"/>
    </row>
    <row r="29" spans="1:4">
      <c r="A29" s="42" t="s">
        <v>266</v>
      </c>
      <c r="B29" s="246">
        <f>B34*'ha_N2O bodem landbouw'!B4</f>
        <v>22.563357618288649</v>
      </c>
      <c r="C29" s="246">
        <f>B29*'GWP N2O_CH4'!B4</f>
        <v>6994.6408616694807</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6.091396256419343E-3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1.6359097883635225E-5</v>
      </c>
      <c r="C5" s="433" t="s">
        <v>204</v>
      </c>
      <c r="D5" s="418">
        <f>SUM(D6:D11)</f>
        <v>2.0342693993305015E-5</v>
      </c>
      <c r="E5" s="418">
        <f>SUM(E6:E11)</f>
        <v>1.2987208377312496E-3</v>
      </c>
      <c r="F5" s="431" t="s">
        <v>204</v>
      </c>
      <c r="G5" s="418">
        <f>SUM(G6:G11)</f>
        <v>0.28651008684761714</v>
      </c>
      <c r="H5" s="418">
        <f>SUM(H6:H11)</f>
        <v>5.1869328720651586E-2</v>
      </c>
      <c r="I5" s="433" t="s">
        <v>204</v>
      </c>
      <c r="J5" s="433" t="s">
        <v>204</v>
      </c>
      <c r="K5" s="433" t="s">
        <v>204</v>
      </c>
      <c r="L5" s="433" t="s">
        <v>204</v>
      </c>
      <c r="M5" s="418">
        <f>SUM(M6:M11)</f>
        <v>1.5124354950020102E-2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1.3177325064290026E-5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1.5283299841068965E-5</v>
      </c>
      <c r="E6" s="421">
        <f>vkm_GW_PW*SUMIFS(TableVerdeelsleutelVkm[LPG],TableVerdeelsleutelVkm[Voertuigtype],"Lichte voertuigen")*SUMIFS(TableECFTransport[EnergieConsumptieFactor (PJ per km)],TableECFTransport[Index],CONCATENATE($A6,"_LPG_LPG"))</f>
        <v>9.8923183148991482E-4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0.1559739090255354</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3.9440076782094297E-2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8.7467430678080521E-3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4.8764284069980504E-7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8.0666330421642091E-2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2.5139635737292059E-6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3.5894045600093757E-3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2.676547890559514E-6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5.0593941522360496E-6</v>
      </c>
      <c r="E8" s="421">
        <f>vkm_NGW_PW*SUMIFS(TableVerdeelsleutelVkm[LPG],TableVerdeelsleutelVkm[Voertuigtype],"Lichte voertuigen")*SUMIFS(TableECFTransport[EnergieConsumptieFactor (PJ per km)],TableECFTransport[Index],CONCATENATE($A8,"_LPG_LPG"))</f>
        <v>3.0948900624133468E-4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4.6140215895481174E-2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1.2426628568256571E-2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2.6222504597212693E-3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1.7582088085878907E-8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3.7296315049584745E-3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1.0940672699180155E-7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1.6595686248140409E-4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4.5441938565653404</v>
      </c>
      <c r="C14" s="22"/>
      <c r="D14" s="22">
        <f t="shared" ref="D14:M14" si="0">((D5)*10^9/3600)+D12</f>
        <v>5.6507483314736158</v>
      </c>
      <c r="E14" s="22">
        <f t="shared" si="0"/>
        <v>360.75578825868047</v>
      </c>
      <c r="F14" s="22"/>
      <c r="G14" s="22">
        <f t="shared" si="0"/>
        <v>79586.135235449212</v>
      </c>
      <c r="H14" s="22">
        <f t="shared" si="0"/>
        <v>14408.146866847665</v>
      </c>
      <c r="I14" s="22"/>
      <c r="J14" s="22"/>
      <c r="K14" s="22"/>
      <c r="L14" s="22"/>
      <c r="M14" s="22">
        <f t="shared" si="0"/>
        <v>4201.2097083389172</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0.2034510156647838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0.92452085549588936</v>
      </c>
      <c r="C18" s="24"/>
      <c r="D18" s="24">
        <f t="shared" ref="D18:M18" si="1">D14*D16</f>
        <v>1.1414511629576705</v>
      </c>
      <c r="E18" s="24">
        <f t="shared" si="1"/>
        <v>81.891563934720466</v>
      </c>
      <c r="F18" s="24"/>
      <c r="G18" s="24">
        <f t="shared" si="1"/>
        <v>21249.49810786494</v>
      </c>
      <c r="H18" s="24">
        <f t="shared" si="1"/>
        <v>3587.6285698450683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4.0879336015587207E-5</v>
      </c>
      <c r="C50" s="316">
        <f t="shared" ref="C50:P50" si="2">SUM(C51:C52)</f>
        <v>0</v>
      </c>
      <c r="D50" s="316">
        <f t="shared" si="2"/>
        <v>0</v>
      </c>
      <c r="E50" s="316">
        <f t="shared" si="2"/>
        <v>0</v>
      </c>
      <c r="F50" s="316">
        <f t="shared" si="2"/>
        <v>0</v>
      </c>
      <c r="G50" s="316">
        <f t="shared" si="2"/>
        <v>8.1534643904253822E-3</v>
      </c>
      <c r="H50" s="316">
        <f t="shared" si="2"/>
        <v>0</v>
      </c>
      <c r="I50" s="316">
        <f t="shared" si="2"/>
        <v>0</v>
      </c>
      <c r="J50" s="316">
        <f t="shared" si="2"/>
        <v>0</v>
      </c>
      <c r="K50" s="316">
        <f t="shared" si="2"/>
        <v>0</v>
      </c>
      <c r="L50" s="316">
        <f t="shared" si="2"/>
        <v>0</v>
      </c>
      <c r="M50" s="316">
        <f t="shared" si="2"/>
        <v>3.603744422672345E-4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4.0879336015587207E-5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8.1534643904253822E-3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3.603744422672345E-4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11.355371115440891</v>
      </c>
      <c r="C54" s="22">
        <f t="shared" ref="C54:P54" si="3">(C50)*10^9/3600</f>
        <v>0</v>
      </c>
      <c r="D54" s="22">
        <f t="shared" si="3"/>
        <v>0</v>
      </c>
      <c r="E54" s="22">
        <f t="shared" si="3"/>
        <v>0</v>
      </c>
      <c r="F54" s="22">
        <f t="shared" si="3"/>
        <v>0</v>
      </c>
      <c r="G54" s="22">
        <f t="shared" si="3"/>
        <v>2264.8512195626063</v>
      </c>
      <c r="H54" s="22">
        <f t="shared" si="3"/>
        <v>0</v>
      </c>
      <c r="I54" s="22">
        <f t="shared" si="3"/>
        <v>0</v>
      </c>
      <c r="J54" s="22">
        <f t="shared" si="3"/>
        <v>0</v>
      </c>
      <c r="K54" s="22">
        <f t="shared" si="3"/>
        <v>0</v>
      </c>
      <c r="L54" s="22">
        <f t="shared" si="3"/>
        <v>0</v>
      </c>
      <c r="M54" s="22">
        <f t="shared" si="3"/>
        <v>100.10401174089847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0.2034510156647838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2.3102617866869979</v>
      </c>
      <c r="C58" s="24">
        <f t="shared" ref="C58:P58" ca="1" si="4">C54*C56</f>
        <v>0</v>
      </c>
      <c r="D58" s="24">
        <f t="shared" si="4"/>
        <v>0</v>
      </c>
      <c r="E58" s="24">
        <f t="shared" si="4"/>
        <v>0</v>
      </c>
      <c r="F58" s="24">
        <f t="shared" si="4"/>
        <v>0</v>
      </c>
      <c r="G58" s="24">
        <f t="shared" si="4"/>
        <v>604.71527562321592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8173.5131645312022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130.94999999999999</v>
      </c>
      <c r="C8" s="544">
        <f>B49</f>
        <v>0</v>
      </c>
      <c r="D8" s="931"/>
      <c r="E8" s="931">
        <f>E49</f>
        <v>0</v>
      </c>
      <c r="F8" s="932"/>
      <c r="G8" s="545"/>
      <c r="H8" s="931">
        <f>I49</f>
        <v>0</v>
      </c>
      <c r="I8" s="931">
        <f>G49+F49</f>
        <v>0</v>
      </c>
      <c r="J8" s="931">
        <f>H49+D49+C49</f>
        <v>154.05882352941174</v>
      </c>
      <c r="K8" s="931"/>
      <c r="L8" s="931"/>
      <c r="M8" s="931"/>
      <c r="N8" s="546"/>
      <c r="O8" s="547">
        <f>C8*$C$12+D8*$D$12+E8*$E$12+F8*$F$12+G8*$G$12+H8*$H$12+I8*$I$12+J8*$J$12</f>
        <v>0</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8304.463164531202</v>
      </c>
      <c r="C10" s="556">
        <f t="shared" ref="C10:L10" si="0">SUM(C8:C9)</f>
        <v>0</v>
      </c>
      <c r="D10" s="556">
        <f t="shared" si="0"/>
        <v>0</v>
      </c>
      <c r="E10" s="556">
        <f t="shared" si="0"/>
        <v>0</v>
      </c>
      <c r="F10" s="556">
        <f t="shared" si="0"/>
        <v>0</v>
      </c>
      <c r="G10" s="556">
        <f t="shared" si="0"/>
        <v>0</v>
      </c>
      <c r="H10" s="556">
        <f t="shared" si="0"/>
        <v>0</v>
      </c>
      <c r="I10" s="556">
        <f t="shared" si="0"/>
        <v>0</v>
      </c>
      <c r="J10" s="556">
        <f t="shared" si="0"/>
        <v>154.05882352941174</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187.07142857142856</v>
      </c>
      <c r="C17" s="568">
        <f>B50</f>
        <v>0</v>
      </c>
      <c r="D17" s="569"/>
      <c r="E17" s="569">
        <f>E50</f>
        <v>0</v>
      </c>
      <c r="F17" s="570"/>
      <c r="G17" s="571"/>
      <c r="H17" s="568">
        <f>I50</f>
        <v>0</v>
      </c>
      <c r="I17" s="569">
        <f>G50+F50</f>
        <v>0</v>
      </c>
      <c r="J17" s="569">
        <f>H50+D50+C50</f>
        <v>220.08403361344537</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187.07142857142856</v>
      </c>
      <c r="C20" s="555">
        <f>SUM(C17:C19)</f>
        <v>0</v>
      </c>
      <c r="D20" s="555">
        <f t="shared" ref="D20:L20" si="1">SUM(D17:D19)</f>
        <v>0</v>
      </c>
      <c r="E20" s="555">
        <f t="shared" si="1"/>
        <v>0</v>
      </c>
      <c r="F20" s="555">
        <f t="shared" si="1"/>
        <v>0</v>
      </c>
      <c r="G20" s="555">
        <f t="shared" si="1"/>
        <v>0</v>
      </c>
      <c r="H20" s="555">
        <f t="shared" si="1"/>
        <v>0</v>
      </c>
      <c r="I20" s="555">
        <f t="shared" si="1"/>
        <v>0</v>
      </c>
      <c r="J20" s="555">
        <f t="shared" si="1"/>
        <v>220.08403361344537</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72004</v>
      </c>
      <c r="C28" s="740">
        <v>3960</v>
      </c>
      <c r="D28" s="628"/>
      <c r="E28" s="627"/>
      <c r="F28" s="627"/>
      <c r="G28" s="627" t="s">
        <v>942</v>
      </c>
      <c r="H28" s="627" t="s">
        <v>943</v>
      </c>
      <c r="I28" s="627"/>
      <c r="J28" s="739"/>
      <c r="K28" s="739"/>
      <c r="L28" s="627" t="s">
        <v>944</v>
      </c>
      <c r="M28" s="627">
        <v>9.6999999999999993</v>
      </c>
      <c r="N28" s="627">
        <v>43.649999999999991</v>
      </c>
      <c r="O28" s="627">
        <v>62.357142857142847</v>
      </c>
      <c r="P28" s="627">
        <v>0</v>
      </c>
      <c r="Q28" s="627">
        <v>124.71428571428569</v>
      </c>
      <c r="R28" s="627">
        <v>0</v>
      </c>
      <c r="S28" s="627">
        <v>0</v>
      </c>
      <c r="T28" s="627">
        <v>0</v>
      </c>
      <c r="U28" s="627">
        <v>0</v>
      </c>
      <c r="V28" s="627">
        <v>0</v>
      </c>
      <c r="W28" s="627"/>
      <c r="X28" s="627"/>
      <c r="Y28" s="627">
        <v>10</v>
      </c>
      <c r="Z28" s="627" t="s">
        <v>105</v>
      </c>
      <c r="AA28" s="629" t="s">
        <v>105</v>
      </c>
    </row>
    <row r="29" spans="1:27" s="581" customFormat="1" ht="25.5" hidden="1">
      <c r="A29" s="580"/>
      <c r="B29" s="740">
        <v>72004</v>
      </c>
      <c r="C29" s="740">
        <v>3960</v>
      </c>
      <c r="D29" s="628"/>
      <c r="E29" s="627"/>
      <c r="F29" s="627"/>
      <c r="G29" s="627" t="s">
        <v>942</v>
      </c>
      <c r="H29" s="627" t="s">
        <v>943</v>
      </c>
      <c r="I29" s="627"/>
      <c r="J29" s="739"/>
      <c r="K29" s="739"/>
      <c r="L29" s="627" t="s">
        <v>944</v>
      </c>
      <c r="M29" s="627">
        <v>19.399999999999999</v>
      </c>
      <c r="N29" s="627">
        <v>87.299999999999983</v>
      </c>
      <c r="O29" s="627">
        <v>124.71428571428569</v>
      </c>
      <c r="P29" s="627">
        <v>0</v>
      </c>
      <c r="Q29" s="627">
        <v>249.42857142857139</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29.099999999999998</v>
      </c>
      <c r="N30" s="585">
        <f>SUM(N28:N29)</f>
        <v>130.94999999999999</v>
      </c>
      <c r="O30" s="585">
        <f>SUM(O28:O29)</f>
        <v>187.07142857142856</v>
      </c>
      <c r="P30" s="585">
        <f>SUM(P28:P29)</f>
        <v>0</v>
      </c>
      <c r="Q30" s="585">
        <f>SUM(Q28:Q29)</f>
        <v>374.14285714285711</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0</v>
      </c>
      <c r="N32" s="585">
        <f ca="1">SUMIF($AA$28:AE29,"tertiair",N28:N29)</f>
        <v>0</v>
      </c>
      <c r="O32" s="585">
        <f ca="1">SUMIF($AA$28:AF29,"tertiair",O28:O29)</f>
        <v>0</v>
      </c>
      <c r="P32" s="585">
        <f ca="1">SUMIF($AA$28:AG29,"tertiair",P28:P29)</f>
        <v>0</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29.099999999999998</v>
      </c>
      <c r="N33" s="590">
        <f>SUMIF($AA$28:$AA$29,"landbouw",N28:N29)</f>
        <v>130.94999999999999</v>
      </c>
      <c r="O33" s="590">
        <f>SUMIF($AA$28:$AA$29,"landbouw",O28:O29)</f>
        <v>187.07142857142856</v>
      </c>
      <c r="P33" s="590">
        <f>SUMIF($AA$28:$AA$29,"landbouw",P28:P29)</f>
        <v>0</v>
      </c>
      <c r="Q33" s="590">
        <f>SUMIF($AA$28:$AA$29,"landbouw",Q28:Q29)</f>
        <v>374.14285714285711</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0.58823529411764708</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0</v>
      </c>
      <c r="C49" s="619">
        <f t="shared" si="2"/>
        <v>154.05882352941174</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0</v>
      </c>
      <c r="C50" s="622">
        <f t="shared" si="3"/>
        <v>220.08403361344537</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31966.626000000004</v>
      </c>
      <c r="D10" s="639">
        <f ca="1">tertiair!C16</f>
        <v>0</v>
      </c>
      <c r="E10" s="639">
        <f ca="1">tertiair!D16</f>
        <v>19706.417939999999</v>
      </c>
      <c r="F10" s="639">
        <f>tertiair!E16</f>
        <v>239.27839833932919</v>
      </c>
      <c r="G10" s="639">
        <f ca="1">tertiair!F16</f>
        <v>6296.1000877848855</v>
      </c>
      <c r="H10" s="639">
        <f>tertiair!G16</f>
        <v>0</v>
      </c>
      <c r="I10" s="639">
        <f>tertiair!H16</f>
        <v>0</v>
      </c>
      <c r="J10" s="639">
        <f>tertiair!I16</f>
        <v>0</v>
      </c>
      <c r="K10" s="639">
        <f>tertiair!J16</f>
        <v>0</v>
      </c>
      <c r="L10" s="639">
        <f>tertiair!K16</f>
        <v>0</v>
      </c>
      <c r="M10" s="639">
        <f ca="1">tertiair!L16</f>
        <v>0</v>
      </c>
      <c r="N10" s="639">
        <f>tertiair!M16</f>
        <v>0</v>
      </c>
      <c r="O10" s="639">
        <f ca="1">tertiair!N16</f>
        <v>2286.7152614697288</v>
      </c>
      <c r="P10" s="639">
        <f>tertiair!O16</f>
        <v>4.6900000000000004</v>
      </c>
      <c r="Q10" s="640">
        <f>tertiair!P16</f>
        <v>57.2</v>
      </c>
      <c r="R10" s="642">
        <f ca="1">SUM(C10:Q10)</f>
        <v>60557.027687593945</v>
      </c>
      <c r="S10" s="68"/>
    </row>
    <row r="11" spans="1:19" s="443" customFormat="1">
      <c r="A11" s="753" t="s">
        <v>214</v>
      </c>
      <c r="B11" s="758"/>
      <c r="C11" s="639">
        <f>huishoudens!B8</f>
        <v>29122.585131341377</v>
      </c>
      <c r="D11" s="639">
        <f>huishoudens!C8</f>
        <v>0</v>
      </c>
      <c r="E11" s="639">
        <f>huishoudens!D8</f>
        <v>40864.152977999998</v>
      </c>
      <c r="F11" s="639">
        <f>huishoudens!E8</f>
        <v>1840.6832730419446</v>
      </c>
      <c r="G11" s="639">
        <f>huishoudens!F8</f>
        <v>56117.08894691967</v>
      </c>
      <c r="H11" s="639">
        <f>huishoudens!G8</f>
        <v>0</v>
      </c>
      <c r="I11" s="639">
        <f>huishoudens!H8</f>
        <v>0</v>
      </c>
      <c r="J11" s="639">
        <f>huishoudens!I8</f>
        <v>0</v>
      </c>
      <c r="K11" s="639">
        <f>huishoudens!J8</f>
        <v>1018.2250251760001</v>
      </c>
      <c r="L11" s="639">
        <f>huishoudens!K8</f>
        <v>0</v>
      </c>
      <c r="M11" s="639">
        <f>huishoudens!L8</f>
        <v>0</v>
      </c>
      <c r="N11" s="639">
        <f>huishoudens!M8</f>
        <v>0</v>
      </c>
      <c r="O11" s="639">
        <f>huishoudens!N8</f>
        <v>9410.0736639045263</v>
      </c>
      <c r="P11" s="639">
        <f>huishoudens!O8</f>
        <v>103.17999999999999</v>
      </c>
      <c r="Q11" s="640">
        <f>huishoudens!P8</f>
        <v>305.06666666666666</v>
      </c>
      <c r="R11" s="642">
        <f>SUM(C11:Q11)</f>
        <v>138781.05568505017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36997.619999999995</v>
      </c>
      <c r="D13" s="639">
        <f>industrie!C18</f>
        <v>0</v>
      </c>
      <c r="E13" s="639">
        <f>industrie!D18</f>
        <v>119192.190436</v>
      </c>
      <c r="F13" s="639">
        <f>industrie!E18</f>
        <v>357.33161015567714</v>
      </c>
      <c r="G13" s="639">
        <f>industrie!F18</f>
        <v>5684.1273499895215</v>
      </c>
      <c r="H13" s="639">
        <f>industrie!G18</f>
        <v>0</v>
      </c>
      <c r="I13" s="639">
        <f>industrie!H18</f>
        <v>0</v>
      </c>
      <c r="J13" s="639">
        <f>industrie!I18</f>
        <v>0</v>
      </c>
      <c r="K13" s="639">
        <f>industrie!J18</f>
        <v>163.66116620722363</v>
      </c>
      <c r="L13" s="639">
        <f>industrie!K18</f>
        <v>0</v>
      </c>
      <c r="M13" s="639">
        <f>industrie!L18</f>
        <v>0</v>
      </c>
      <c r="N13" s="639">
        <f>industrie!M18</f>
        <v>0</v>
      </c>
      <c r="O13" s="639">
        <f>industrie!N18</f>
        <v>593.46057336553804</v>
      </c>
      <c r="P13" s="639">
        <f>industrie!O18</f>
        <v>0</v>
      </c>
      <c r="Q13" s="640">
        <f>industrie!P18</f>
        <v>0</v>
      </c>
      <c r="R13" s="642">
        <f>SUM(C13:Q13)</f>
        <v>162988.39113571795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98086.831131341372</v>
      </c>
      <c r="D16" s="672">
        <f t="shared" ref="D16:R16" ca="1" si="0">SUM(D9:D15)</f>
        <v>0</v>
      </c>
      <c r="E16" s="672">
        <f t="shared" ca="1" si="0"/>
        <v>179762.76135400002</v>
      </c>
      <c r="F16" s="672">
        <f t="shared" si="0"/>
        <v>2437.2932815369509</v>
      </c>
      <c r="G16" s="672">
        <f t="shared" ca="1" si="0"/>
        <v>68097.316384694073</v>
      </c>
      <c r="H16" s="672">
        <f t="shared" si="0"/>
        <v>0</v>
      </c>
      <c r="I16" s="672">
        <f t="shared" si="0"/>
        <v>0</v>
      </c>
      <c r="J16" s="672">
        <f t="shared" si="0"/>
        <v>0</v>
      </c>
      <c r="K16" s="672">
        <f t="shared" si="0"/>
        <v>1181.8861913832238</v>
      </c>
      <c r="L16" s="672">
        <f t="shared" si="0"/>
        <v>0</v>
      </c>
      <c r="M16" s="672">
        <f t="shared" ca="1" si="0"/>
        <v>0</v>
      </c>
      <c r="N16" s="672">
        <f t="shared" si="0"/>
        <v>0</v>
      </c>
      <c r="O16" s="672">
        <f t="shared" ca="1" si="0"/>
        <v>12290.249498739791</v>
      </c>
      <c r="P16" s="672">
        <f t="shared" si="0"/>
        <v>107.86999999999999</v>
      </c>
      <c r="Q16" s="672">
        <f t="shared" si="0"/>
        <v>362.26666666666665</v>
      </c>
      <c r="R16" s="672">
        <f t="shared" ca="1" si="0"/>
        <v>362326.47450836207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11.355371115440891</v>
      </c>
      <c r="D19" s="639">
        <f>transport!C54</f>
        <v>0</v>
      </c>
      <c r="E19" s="639">
        <f>transport!D54</f>
        <v>0</v>
      </c>
      <c r="F19" s="639">
        <f>transport!E54</f>
        <v>0</v>
      </c>
      <c r="G19" s="639">
        <f>transport!F54</f>
        <v>0</v>
      </c>
      <c r="H19" s="639">
        <f>transport!G54</f>
        <v>2264.8512195626063</v>
      </c>
      <c r="I19" s="639">
        <f>transport!H54</f>
        <v>0</v>
      </c>
      <c r="J19" s="639">
        <f>transport!I54</f>
        <v>0</v>
      </c>
      <c r="K19" s="639">
        <f>transport!J54</f>
        <v>0</v>
      </c>
      <c r="L19" s="639">
        <f>transport!K54</f>
        <v>0</v>
      </c>
      <c r="M19" s="639">
        <f>transport!L54</f>
        <v>0</v>
      </c>
      <c r="N19" s="639">
        <f>transport!M54</f>
        <v>100.10401174089847</v>
      </c>
      <c r="O19" s="639">
        <f>transport!N54</f>
        <v>0</v>
      </c>
      <c r="P19" s="639">
        <f>transport!O54</f>
        <v>0</v>
      </c>
      <c r="Q19" s="640">
        <f>transport!P54</f>
        <v>0</v>
      </c>
      <c r="R19" s="642">
        <f>SUM(C19:Q19)</f>
        <v>2376.3106024189456</v>
      </c>
      <c r="S19" s="68"/>
    </row>
    <row r="20" spans="1:19" s="443" customFormat="1">
      <c r="A20" s="753" t="s">
        <v>296</v>
      </c>
      <c r="B20" s="758"/>
      <c r="C20" s="639">
        <f>transport!B14</f>
        <v>4.5441938565653404</v>
      </c>
      <c r="D20" s="639">
        <f>transport!C14</f>
        <v>0</v>
      </c>
      <c r="E20" s="639">
        <f>transport!D14</f>
        <v>5.6507483314736158</v>
      </c>
      <c r="F20" s="639">
        <f>transport!E14</f>
        <v>360.75578825868047</v>
      </c>
      <c r="G20" s="639">
        <f>transport!F14</f>
        <v>0</v>
      </c>
      <c r="H20" s="639">
        <f>transport!G14</f>
        <v>79586.135235449212</v>
      </c>
      <c r="I20" s="639">
        <f>transport!H14</f>
        <v>14408.146866847665</v>
      </c>
      <c r="J20" s="639">
        <f>transport!I14</f>
        <v>0</v>
      </c>
      <c r="K20" s="639">
        <f>transport!J14</f>
        <v>0</v>
      </c>
      <c r="L20" s="639">
        <f>transport!K14</f>
        <v>0</v>
      </c>
      <c r="M20" s="639">
        <f>transport!L14</f>
        <v>0</v>
      </c>
      <c r="N20" s="639">
        <f>transport!M14</f>
        <v>4201.2097083389172</v>
      </c>
      <c r="O20" s="639">
        <f>transport!N14</f>
        <v>0</v>
      </c>
      <c r="P20" s="639">
        <f>transport!O14</f>
        <v>0</v>
      </c>
      <c r="Q20" s="640">
        <f>transport!P14</f>
        <v>0</v>
      </c>
      <c r="R20" s="642">
        <f>SUM(C20:Q20)</f>
        <v>98566.442541082521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15.899564972006232</v>
      </c>
      <c r="D22" s="756">
        <f t="shared" ref="D22:R22" si="1">SUM(D18:D21)</f>
        <v>0</v>
      </c>
      <c r="E22" s="756">
        <f t="shared" si="1"/>
        <v>5.6507483314736158</v>
      </c>
      <c r="F22" s="756">
        <f t="shared" si="1"/>
        <v>360.75578825868047</v>
      </c>
      <c r="G22" s="756">
        <f t="shared" si="1"/>
        <v>0</v>
      </c>
      <c r="H22" s="756">
        <f t="shared" si="1"/>
        <v>81850.986455011822</v>
      </c>
      <c r="I22" s="756">
        <f t="shared" si="1"/>
        <v>14408.146866847665</v>
      </c>
      <c r="J22" s="756">
        <f t="shared" si="1"/>
        <v>0</v>
      </c>
      <c r="K22" s="756">
        <f t="shared" si="1"/>
        <v>0</v>
      </c>
      <c r="L22" s="756">
        <f t="shared" si="1"/>
        <v>0</v>
      </c>
      <c r="M22" s="756">
        <f t="shared" si="1"/>
        <v>0</v>
      </c>
      <c r="N22" s="756">
        <f t="shared" si="1"/>
        <v>4301.3137200798155</v>
      </c>
      <c r="O22" s="756">
        <f t="shared" si="1"/>
        <v>0</v>
      </c>
      <c r="P22" s="756">
        <f t="shared" si="1"/>
        <v>0</v>
      </c>
      <c r="Q22" s="756">
        <f t="shared" si="1"/>
        <v>0</v>
      </c>
      <c r="R22" s="756">
        <f t="shared" si="1"/>
        <v>100942.75314350147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5736.4970000000003</v>
      </c>
      <c r="D24" s="639">
        <f>+landbouw!C8</f>
        <v>187.07142857142856</v>
      </c>
      <c r="E24" s="639">
        <f>+landbouw!D8</f>
        <v>5014.1223880000007</v>
      </c>
      <c r="F24" s="639">
        <f>+landbouw!E8</f>
        <v>56.648951965676673</v>
      </c>
      <c r="G24" s="639">
        <f>+landbouw!F8</f>
        <v>19138.471857455712</v>
      </c>
      <c r="H24" s="639">
        <f>+landbouw!G8</f>
        <v>0</v>
      </c>
      <c r="I24" s="639">
        <f>+landbouw!H8</f>
        <v>0</v>
      </c>
      <c r="J24" s="639">
        <f>+landbouw!I8</f>
        <v>0</v>
      </c>
      <c r="K24" s="639">
        <f>+landbouw!J8</f>
        <v>572.32828556238337</v>
      </c>
      <c r="L24" s="639">
        <f>+landbouw!K8</f>
        <v>0</v>
      </c>
      <c r="M24" s="639">
        <f>+landbouw!L8</f>
        <v>0</v>
      </c>
      <c r="N24" s="639">
        <f>+landbouw!M8</f>
        <v>0</v>
      </c>
      <c r="O24" s="639">
        <f>+landbouw!N8</f>
        <v>0</v>
      </c>
      <c r="P24" s="639">
        <f>+landbouw!O8</f>
        <v>0</v>
      </c>
      <c r="Q24" s="640">
        <f>+landbouw!P8</f>
        <v>0</v>
      </c>
      <c r="R24" s="642">
        <f>SUM(C24:Q24)</f>
        <v>30705.139911555205</v>
      </c>
      <c r="S24" s="68"/>
    </row>
    <row r="25" spans="1:19" s="443" customFormat="1" ht="15" thickBot="1">
      <c r="A25" s="775" t="s">
        <v>847</v>
      </c>
      <c r="B25" s="941"/>
      <c r="C25" s="942">
        <f>IF(Onbekend_ele_kWh="---",0,Onbekend_ele_kWh)/1000+IF(REST_rest_ele_kWh="---",0,REST_rest_ele_kWh)/1000</f>
        <v>741.54600000000005</v>
      </c>
      <c r="D25" s="942"/>
      <c r="E25" s="942">
        <f>IF(onbekend_gas_kWh="---",0,onbekend_gas_kWh)/1000+IF(REST_rest_gas_kWh="---",0,REST_rest_gas_kWh)/1000</f>
        <v>1695.5260000000001</v>
      </c>
      <c r="F25" s="942"/>
      <c r="G25" s="942"/>
      <c r="H25" s="942"/>
      <c r="I25" s="942"/>
      <c r="J25" s="942"/>
      <c r="K25" s="942"/>
      <c r="L25" s="942"/>
      <c r="M25" s="942"/>
      <c r="N25" s="942"/>
      <c r="O25" s="942"/>
      <c r="P25" s="942"/>
      <c r="Q25" s="943"/>
      <c r="R25" s="642">
        <f>SUM(C25:Q25)</f>
        <v>2437.0720000000001</v>
      </c>
      <c r="S25" s="68"/>
    </row>
    <row r="26" spans="1:19" s="443" customFormat="1" ht="15.75" thickBot="1">
      <c r="A26" s="645" t="s">
        <v>848</v>
      </c>
      <c r="B26" s="761"/>
      <c r="C26" s="756">
        <f>SUM(C24:C25)</f>
        <v>6478.0430000000006</v>
      </c>
      <c r="D26" s="756">
        <f t="shared" ref="D26:R26" si="2">SUM(D24:D25)</f>
        <v>187.07142857142856</v>
      </c>
      <c r="E26" s="756">
        <f t="shared" si="2"/>
        <v>6709.6483880000005</v>
      </c>
      <c r="F26" s="756">
        <f t="shared" si="2"/>
        <v>56.648951965676673</v>
      </c>
      <c r="G26" s="756">
        <f t="shared" si="2"/>
        <v>19138.471857455712</v>
      </c>
      <c r="H26" s="756">
        <f t="shared" si="2"/>
        <v>0</v>
      </c>
      <c r="I26" s="756">
        <f t="shared" si="2"/>
        <v>0</v>
      </c>
      <c r="J26" s="756">
        <f t="shared" si="2"/>
        <v>0</v>
      </c>
      <c r="K26" s="756">
        <f t="shared" si="2"/>
        <v>572.32828556238337</v>
      </c>
      <c r="L26" s="756">
        <f t="shared" si="2"/>
        <v>0</v>
      </c>
      <c r="M26" s="756">
        <f t="shared" si="2"/>
        <v>0</v>
      </c>
      <c r="N26" s="756">
        <f t="shared" si="2"/>
        <v>0</v>
      </c>
      <c r="O26" s="756">
        <f t="shared" si="2"/>
        <v>0</v>
      </c>
      <c r="P26" s="756">
        <f t="shared" si="2"/>
        <v>0</v>
      </c>
      <c r="Q26" s="756">
        <f t="shared" si="2"/>
        <v>0</v>
      </c>
      <c r="R26" s="756">
        <f t="shared" si="2"/>
        <v>33142.211911555205</v>
      </c>
      <c r="S26" s="68"/>
    </row>
    <row r="27" spans="1:19" s="443" customFormat="1" ht="17.25" thickTop="1" thickBot="1">
      <c r="A27" s="646" t="s">
        <v>109</v>
      </c>
      <c r="B27" s="748"/>
      <c r="C27" s="647">
        <f ca="1">C22+C16+C26</f>
        <v>104580.77369631338</v>
      </c>
      <c r="D27" s="647">
        <f t="shared" ref="D27:R27" ca="1" si="3">D22+D16+D26</f>
        <v>187.07142857142856</v>
      </c>
      <c r="E27" s="647">
        <f t="shared" ca="1" si="3"/>
        <v>186478.0604903315</v>
      </c>
      <c r="F27" s="647">
        <f t="shared" si="3"/>
        <v>2854.6980217613077</v>
      </c>
      <c r="G27" s="647">
        <f t="shared" ca="1" si="3"/>
        <v>87235.788242149778</v>
      </c>
      <c r="H27" s="647">
        <f t="shared" si="3"/>
        <v>81850.986455011822</v>
      </c>
      <c r="I27" s="647">
        <f t="shared" si="3"/>
        <v>14408.146866847665</v>
      </c>
      <c r="J27" s="647">
        <f t="shared" si="3"/>
        <v>0</v>
      </c>
      <c r="K27" s="647">
        <f t="shared" si="3"/>
        <v>1754.2144769456072</v>
      </c>
      <c r="L27" s="647">
        <f t="shared" si="3"/>
        <v>0</v>
      </c>
      <c r="M27" s="647">
        <f t="shared" ca="1" si="3"/>
        <v>0</v>
      </c>
      <c r="N27" s="647">
        <f t="shared" si="3"/>
        <v>4301.3137200798155</v>
      </c>
      <c r="O27" s="647">
        <f t="shared" ca="1" si="3"/>
        <v>12290.249498739791</v>
      </c>
      <c r="P27" s="647">
        <f t="shared" si="3"/>
        <v>107.86999999999999</v>
      </c>
      <c r="Q27" s="647">
        <f t="shared" si="3"/>
        <v>362.26666666666665</v>
      </c>
      <c r="R27" s="647">
        <f t="shared" ca="1" si="3"/>
        <v>496411.43956341874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6503.6425270762857</v>
      </c>
      <c r="D40" s="639">
        <f ca="1">tertiair!C20</f>
        <v>0</v>
      </c>
      <c r="E40" s="639">
        <f ca="1">tertiair!D20</f>
        <v>3980.6964238800001</v>
      </c>
      <c r="F40" s="639">
        <f>tertiair!E20</f>
        <v>54.316196423027726</v>
      </c>
      <c r="G40" s="639">
        <f ca="1">tertiair!F20</f>
        <v>1681.0587234385646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12219.713870817877</v>
      </c>
    </row>
    <row r="41" spans="1:18">
      <c r="A41" s="766" t="s">
        <v>214</v>
      </c>
      <c r="B41" s="773"/>
      <c r="C41" s="639">
        <f ca="1">huishoudens!B12</f>
        <v>5925.0195237555345</v>
      </c>
      <c r="D41" s="639">
        <f ca="1">huishoudens!C12</f>
        <v>0</v>
      </c>
      <c r="E41" s="639">
        <f>huishoudens!D12</f>
        <v>8254.5589015559999</v>
      </c>
      <c r="F41" s="639">
        <f>huishoudens!E12</f>
        <v>417.83510298052147</v>
      </c>
      <c r="G41" s="639">
        <f>huishoudens!F12</f>
        <v>14983.262748827552</v>
      </c>
      <c r="H41" s="639">
        <f>huishoudens!G12</f>
        <v>0</v>
      </c>
      <c r="I41" s="639">
        <f>huishoudens!H12</f>
        <v>0</v>
      </c>
      <c r="J41" s="639">
        <f>huishoudens!I12</f>
        <v>0</v>
      </c>
      <c r="K41" s="639">
        <f>huishoudens!J12</f>
        <v>360.45165891230403</v>
      </c>
      <c r="L41" s="639">
        <f>huishoudens!K12</f>
        <v>0</v>
      </c>
      <c r="M41" s="639">
        <f>huishoudens!L12</f>
        <v>0</v>
      </c>
      <c r="N41" s="639">
        <f>huishoudens!M12</f>
        <v>0</v>
      </c>
      <c r="O41" s="639">
        <f>huishoudens!N12</f>
        <v>0</v>
      </c>
      <c r="P41" s="639">
        <f>huishoudens!O12</f>
        <v>0</v>
      </c>
      <c r="Q41" s="714">
        <f>huishoudens!P12</f>
        <v>0</v>
      </c>
      <c r="R41" s="794">
        <f t="shared" ca="1" si="4"/>
        <v>29941.127936031913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7527.2033661797177</v>
      </c>
      <c r="D43" s="639">
        <f ca="1">industrie!C22</f>
        <v>0</v>
      </c>
      <c r="E43" s="639">
        <f>industrie!D22</f>
        <v>24076.822468072001</v>
      </c>
      <c r="F43" s="639">
        <f>industrie!E22</f>
        <v>81.114275505338711</v>
      </c>
      <c r="G43" s="639">
        <f>industrie!F22</f>
        <v>1517.6620024472022</v>
      </c>
      <c r="H43" s="639">
        <f>industrie!G22</f>
        <v>0</v>
      </c>
      <c r="I43" s="639">
        <f>industrie!H22</f>
        <v>0</v>
      </c>
      <c r="J43" s="639">
        <f>industrie!I22</f>
        <v>0</v>
      </c>
      <c r="K43" s="639">
        <f>industrie!J22</f>
        <v>57.93605283735716</v>
      </c>
      <c r="L43" s="639">
        <f>industrie!K22</f>
        <v>0</v>
      </c>
      <c r="M43" s="639">
        <f>industrie!L22</f>
        <v>0</v>
      </c>
      <c r="N43" s="639">
        <f>industrie!M22</f>
        <v>0</v>
      </c>
      <c r="O43" s="639">
        <f>industrie!N22</f>
        <v>0</v>
      </c>
      <c r="P43" s="639">
        <f>industrie!O22</f>
        <v>0</v>
      </c>
      <c r="Q43" s="714">
        <f>industrie!P22</f>
        <v>0</v>
      </c>
      <c r="R43" s="793">
        <f t="shared" ca="1" si="4"/>
        <v>33260.738165041614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19955.865417011537</v>
      </c>
      <c r="D46" s="672">
        <f t="shared" ref="D46:Q46" ca="1" si="5">SUM(D39:D45)</f>
        <v>0</v>
      </c>
      <c r="E46" s="672">
        <f t="shared" ca="1" si="5"/>
        <v>36312.077793507997</v>
      </c>
      <c r="F46" s="672">
        <f t="shared" si="5"/>
        <v>553.26557490888797</v>
      </c>
      <c r="G46" s="672">
        <f t="shared" ca="1" si="5"/>
        <v>18181.983474713321</v>
      </c>
      <c r="H46" s="672">
        <f t="shared" si="5"/>
        <v>0</v>
      </c>
      <c r="I46" s="672">
        <f t="shared" si="5"/>
        <v>0</v>
      </c>
      <c r="J46" s="672">
        <f t="shared" si="5"/>
        <v>0</v>
      </c>
      <c r="K46" s="672">
        <f t="shared" si="5"/>
        <v>418.38771174966121</v>
      </c>
      <c r="L46" s="672">
        <f t="shared" si="5"/>
        <v>0</v>
      </c>
      <c r="M46" s="672">
        <f t="shared" ca="1" si="5"/>
        <v>0</v>
      </c>
      <c r="N46" s="672">
        <f t="shared" si="5"/>
        <v>0</v>
      </c>
      <c r="O46" s="672">
        <f t="shared" ca="1" si="5"/>
        <v>0</v>
      </c>
      <c r="P46" s="672">
        <f t="shared" si="5"/>
        <v>0</v>
      </c>
      <c r="Q46" s="672">
        <f t="shared" si="5"/>
        <v>0</v>
      </c>
      <c r="R46" s="672">
        <f ca="1">SUM(R39:R45)</f>
        <v>75421.579971891406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2.3102617866869979</v>
      </c>
      <c r="D49" s="639">
        <f ca="1">transport!C58</f>
        <v>0</v>
      </c>
      <c r="E49" s="639">
        <f>transport!D58</f>
        <v>0</v>
      </c>
      <c r="F49" s="639">
        <f>transport!E58</f>
        <v>0</v>
      </c>
      <c r="G49" s="639">
        <f>transport!F58</f>
        <v>0</v>
      </c>
      <c r="H49" s="639">
        <f>transport!G58</f>
        <v>604.71527562321592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607.02553740990288</v>
      </c>
    </row>
    <row r="50" spans="1:18">
      <c r="A50" s="769" t="s">
        <v>296</v>
      </c>
      <c r="B50" s="779"/>
      <c r="C50" s="948">
        <f ca="1">transport!B18</f>
        <v>0.92452085549588936</v>
      </c>
      <c r="D50" s="948">
        <f>transport!C18</f>
        <v>0</v>
      </c>
      <c r="E50" s="948">
        <f>transport!D18</f>
        <v>1.1414511629576705</v>
      </c>
      <c r="F50" s="948">
        <f>transport!E18</f>
        <v>81.891563934720466</v>
      </c>
      <c r="G50" s="948">
        <f>transport!F18</f>
        <v>0</v>
      </c>
      <c r="H50" s="948">
        <f>transport!G18</f>
        <v>21249.49810786494</v>
      </c>
      <c r="I50" s="948">
        <f>transport!H18</f>
        <v>3587.6285698450683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24921.084213663184</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3.2347826421828874</v>
      </c>
      <c r="D52" s="672">
        <f t="shared" ref="D52:Q52" ca="1" si="6">SUM(D48:D51)</f>
        <v>0</v>
      </c>
      <c r="E52" s="672">
        <f t="shared" si="6"/>
        <v>1.1414511629576705</v>
      </c>
      <c r="F52" s="672">
        <f t="shared" si="6"/>
        <v>81.891563934720466</v>
      </c>
      <c r="G52" s="672">
        <f t="shared" si="6"/>
        <v>0</v>
      </c>
      <c r="H52" s="672">
        <f t="shared" si="6"/>
        <v>21854.213383488157</v>
      </c>
      <c r="I52" s="672">
        <f t="shared" si="6"/>
        <v>3587.6285698450683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25528.109751073087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1167.0961410079854</v>
      </c>
      <c r="D54" s="948">
        <f ca="1">+landbouw!C12</f>
        <v>0</v>
      </c>
      <c r="E54" s="948">
        <f>+landbouw!D12</f>
        <v>1012.8527223760002</v>
      </c>
      <c r="F54" s="948">
        <f>+landbouw!E12</f>
        <v>12.859312096208605</v>
      </c>
      <c r="G54" s="948">
        <f>+landbouw!F12</f>
        <v>5109.971985940675</v>
      </c>
      <c r="H54" s="948">
        <f>+landbouw!G12</f>
        <v>0</v>
      </c>
      <c r="I54" s="948">
        <f>+landbouw!H12</f>
        <v>0</v>
      </c>
      <c r="J54" s="948">
        <f>+landbouw!I12</f>
        <v>0</v>
      </c>
      <c r="K54" s="948">
        <f>+landbouw!J12</f>
        <v>202.60421308908371</v>
      </c>
      <c r="L54" s="948">
        <f>+landbouw!K12</f>
        <v>0</v>
      </c>
      <c r="M54" s="948">
        <f>+landbouw!L12</f>
        <v>0</v>
      </c>
      <c r="N54" s="948">
        <f>+landbouw!M12</f>
        <v>0</v>
      </c>
      <c r="O54" s="948">
        <f>+landbouw!N12</f>
        <v>0</v>
      </c>
      <c r="P54" s="948">
        <f>+landbouw!O12</f>
        <v>0</v>
      </c>
      <c r="Q54" s="949">
        <f>+landbouw!P12</f>
        <v>0</v>
      </c>
      <c r="R54" s="671">
        <f ca="1">SUM(C54:Q54)</f>
        <v>7505.384374509953</v>
      </c>
    </row>
    <row r="55" spans="1:18" ht="15" thickBot="1">
      <c r="A55" s="769" t="s">
        <v>847</v>
      </c>
      <c r="B55" s="779"/>
      <c r="C55" s="948">
        <f ca="1">C25*'EF ele_warmte'!B12</f>
        <v>150.86828686215779</v>
      </c>
      <c r="D55" s="948"/>
      <c r="E55" s="948">
        <f>E25*EF_CO2_aardgas</f>
        <v>342.49625200000003</v>
      </c>
      <c r="F55" s="948"/>
      <c r="G55" s="948"/>
      <c r="H55" s="948"/>
      <c r="I55" s="948"/>
      <c r="J55" s="948"/>
      <c r="K55" s="948"/>
      <c r="L55" s="948"/>
      <c r="M55" s="948"/>
      <c r="N55" s="948"/>
      <c r="O55" s="948"/>
      <c r="P55" s="948"/>
      <c r="Q55" s="949"/>
      <c r="R55" s="671">
        <f ca="1">SUM(C55:Q55)</f>
        <v>493.36453886215781</v>
      </c>
    </row>
    <row r="56" spans="1:18" ht="15.75" thickBot="1">
      <c r="A56" s="767" t="s">
        <v>848</v>
      </c>
      <c r="B56" s="780"/>
      <c r="C56" s="672">
        <f ca="1">SUM(C54:C55)</f>
        <v>1317.964427870143</v>
      </c>
      <c r="D56" s="672">
        <f t="shared" ref="D56:Q56" ca="1" si="7">SUM(D54:D55)</f>
        <v>0</v>
      </c>
      <c r="E56" s="672">
        <f t="shared" si="7"/>
        <v>1355.3489743760001</v>
      </c>
      <c r="F56" s="672">
        <f t="shared" si="7"/>
        <v>12.859312096208605</v>
      </c>
      <c r="G56" s="672">
        <f t="shared" si="7"/>
        <v>5109.971985940675</v>
      </c>
      <c r="H56" s="672">
        <f t="shared" si="7"/>
        <v>0</v>
      </c>
      <c r="I56" s="672">
        <f t="shared" si="7"/>
        <v>0</v>
      </c>
      <c r="J56" s="672">
        <f t="shared" si="7"/>
        <v>0</v>
      </c>
      <c r="K56" s="672">
        <f t="shared" si="7"/>
        <v>202.60421308908371</v>
      </c>
      <c r="L56" s="672">
        <f t="shared" si="7"/>
        <v>0</v>
      </c>
      <c r="M56" s="672">
        <f t="shared" si="7"/>
        <v>0</v>
      </c>
      <c r="N56" s="672">
        <f t="shared" si="7"/>
        <v>0</v>
      </c>
      <c r="O56" s="672">
        <f t="shared" si="7"/>
        <v>0</v>
      </c>
      <c r="P56" s="672">
        <f t="shared" si="7"/>
        <v>0</v>
      </c>
      <c r="Q56" s="673">
        <f t="shared" si="7"/>
        <v>0</v>
      </c>
      <c r="R56" s="674">
        <f ca="1">SUM(R54:R55)</f>
        <v>7998.748913372111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21277.064627523861</v>
      </c>
      <c r="D61" s="680">
        <f t="shared" ref="D61:Q61" ca="1" si="8">D46+D52+D56</f>
        <v>0</v>
      </c>
      <c r="E61" s="680">
        <f t="shared" ca="1" si="8"/>
        <v>37668.568219046952</v>
      </c>
      <c r="F61" s="680">
        <f t="shared" si="8"/>
        <v>648.01645093981699</v>
      </c>
      <c r="G61" s="680">
        <f t="shared" ca="1" si="8"/>
        <v>23291.955460653997</v>
      </c>
      <c r="H61" s="680">
        <f t="shared" si="8"/>
        <v>21854.213383488157</v>
      </c>
      <c r="I61" s="680">
        <f t="shared" si="8"/>
        <v>3587.6285698450683</v>
      </c>
      <c r="J61" s="680">
        <f t="shared" si="8"/>
        <v>0</v>
      </c>
      <c r="K61" s="680">
        <f t="shared" si="8"/>
        <v>620.99192483874492</v>
      </c>
      <c r="L61" s="680">
        <f t="shared" si="8"/>
        <v>0</v>
      </c>
      <c r="M61" s="680">
        <f t="shared" ca="1" si="8"/>
        <v>0</v>
      </c>
      <c r="N61" s="680">
        <f t="shared" si="8"/>
        <v>0</v>
      </c>
      <c r="O61" s="680">
        <f t="shared" ca="1" si="8"/>
        <v>0</v>
      </c>
      <c r="P61" s="680">
        <f t="shared" si="8"/>
        <v>0</v>
      </c>
      <c r="Q61" s="680">
        <f t="shared" si="8"/>
        <v>0</v>
      </c>
      <c r="R61" s="680">
        <f ca="1">R46+R52+R56</f>
        <v>108948.43863633661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0.2034510156647838</v>
      </c>
      <c r="D63" s="724">
        <f t="shared" ca="1" si="9"/>
        <v>0</v>
      </c>
      <c r="E63" s="950">
        <f t="shared" ca="1" si="9"/>
        <v>0.20199999999999996</v>
      </c>
      <c r="F63" s="724">
        <f t="shared" si="9"/>
        <v>0.22700000000000006</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8173.5131645312022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130.94999999999999</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154.05882352941174</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8304.463164531202</v>
      </c>
      <c r="C78" s="695">
        <f>SUM(C72:C77)</f>
        <v>0</v>
      </c>
      <c r="D78" s="696">
        <f t="shared" ref="D78:H78" si="10">SUM(D76:D77)</f>
        <v>0</v>
      </c>
      <c r="E78" s="696">
        <f t="shared" si="10"/>
        <v>0</v>
      </c>
      <c r="F78" s="696">
        <f t="shared" si="10"/>
        <v>0</v>
      </c>
      <c r="G78" s="696">
        <f t="shared" si="10"/>
        <v>0</v>
      </c>
      <c r="H78" s="696">
        <f t="shared" si="10"/>
        <v>0</v>
      </c>
      <c r="I78" s="696">
        <f>SUM(I76:I77)</f>
        <v>0</v>
      </c>
      <c r="J78" s="696">
        <f>SUM(J76:J77)</f>
        <v>154.05882352941174</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187.07142857142856</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220.08403361344537</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187.07142857142856</v>
      </c>
      <c r="C90" s="695">
        <f>SUM(C87:C89)</f>
        <v>0</v>
      </c>
      <c r="D90" s="695">
        <f t="shared" ref="D90:H90" si="12">SUM(D87:D89)</f>
        <v>0</v>
      </c>
      <c r="E90" s="695">
        <f t="shared" si="12"/>
        <v>0</v>
      </c>
      <c r="F90" s="695">
        <f t="shared" si="12"/>
        <v>0</v>
      </c>
      <c r="G90" s="695">
        <f t="shared" si="12"/>
        <v>0</v>
      </c>
      <c r="H90" s="695">
        <f t="shared" si="12"/>
        <v>0</v>
      </c>
      <c r="I90" s="695">
        <f>SUM(I87:I89)</f>
        <v>0</v>
      </c>
      <c r="J90" s="695">
        <f>SUM(J87:J89)</f>
        <v>220.08403361344537</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29122.585131341377</v>
      </c>
      <c r="C4" s="447">
        <f>huishoudens!C8</f>
        <v>0</v>
      </c>
      <c r="D4" s="447">
        <f>huishoudens!D8</f>
        <v>40864.152977999998</v>
      </c>
      <c r="E4" s="447">
        <f>huishoudens!E8</f>
        <v>1840.6832730419446</v>
      </c>
      <c r="F4" s="447">
        <f>huishoudens!F8</f>
        <v>56117.08894691967</v>
      </c>
      <c r="G4" s="447">
        <f>huishoudens!G8</f>
        <v>0</v>
      </c>
      <c r="H4" s="447">
        <f>huishoudens!H8</f>
        <v>0</v>
      </c>
      <c r="I4" s="447">
        <f>huishoudens!I8</f>
        <v>0</v>
      </c>
      <c r="J4" s="447">
        <f>huishoudens!J8</f>
        <v>1018.2250251760001</v>
      </c>
      <c r="K4" s="447">
        <f>huishoudens!K8</f>
        <v>0</v>
      </c>
      <c r="L4" s="447">
        <f>huishoudens!L8</f>
        <v>0</v>
      </c>
      <c r="M4" s="447">
        <f>huishoudens!M8</f>
        <v>0</v>
      </c>
      <c r="N4" s="447">
        <f>huishoudens!N8</f>
        <v>9410.0736639045263</v>
      </c>
      <c r="O4" s="447">
        <f>huishoudens!O8</f>
        <v>103.17999999999999</v>
      </c>
      <c r="P4" s="448">
        <f>huishoudens!P8</f>
        <v>305.06666666666666</v>
      </c>
      <c r="Q4" s="449">
        <f>SUM(B4:P4)</f>
        <v>138781.05568505017</v>
      </c>
    </row>
    <row r="5" spans="1:17">
      <c r="A5" s="446" t="s">
        <v>149</v>
      </c>
      <c r="B5" s="447">
        <f ca="1">tertiair!B16</f>
        <v>30835.781000000003</v>
      </c>
      <c r="C5" s="447">
        <f ca="1">tertiair!C16</f>
        <v>0</v>
      </c>
      <c r="D5" s="447">
        <f ca="1">tertiair!D16</f>
        <v>19706.417939999999</v>
      </c>
      <c r="E5" s="447">
        <f>tertiair!E16</f>
        <v>239.27839833932919</v>
      </c>
      <c r="F5" s="447">
        <f ca="1">tertiair!F16</f>
        <v>6296.1000877848855</v>
      </c>
      <c r="G5" s="447">
        <f>tertiair!G16</f>
        <v>0</v>
      </c>
      <c r="H5" s="447">
        <f>tertiair!H16</f>
        <v>0</v>
      </c>
      <c r="I5" s="447">
        <f>tertiair!I16</f>
        <v>0</v>
      </c>
      <c r="J5" s="447">
        <f>tertiair!J16</f>
        <v>0</v>
      </c>
      <c r="K5" s="447">
        <f>tertiair!K16</f>
        <v>0</v>
      </c>
      <c r="L5" s="447">
        <f ca="1">tertiair!L16</f>
        <v>0</v>
      </c>
      <c r="M5" s="447">
        <f>tertiair!M16</f>
        <v>0</v>
      </c>
      <c r="N5" s="447">
        <f ca="1">tertiair!N16</f>
        <v>2286.7152614697288</v>
      </c>
      <c r="O5" s="447">
        <f>tertiair!O16</f>
        <v>4.6900000000000004</v>
      </c>
      <c r="P5" s="448">
        <f>tertiair!P16</f>
        <v>57.2</v>
      </c>
      <c r="Q5" s="446">
        <f t="shared" ref="Q5:Q14" ca="1" si="0">SUM(B5:P5)</f>
        <v>59426.182687593944</v>
      </c>
    </row>
    <row r="6" spans="1:17">
      <c r="A6" s="446" t="s">
        <v>187</v>
      </c>
      <c r="B6" s="447">
        <f>'openbare verlichting'!B8</f>
        <v>1130.845</v>
      </c>
      <c r="C6" s="447"/>
      <c r="D6" s="447"/>
      <c r="E6" s="447"/>
      <c r="F6" s="447"/>
      <c r="G6" s="447"/>
      <c r="H6" s="447"/>
      <c r="I6" s="447"/>
      <c r="J6" s="447"/>
      <c r="K6" s="447"/>
      <c r="L6" s="447"/>
      <c r="M6" s="447"/>
      <c r="N6" s="447"/>
      <c r="O6" s="447"/>
      <c r="P6" s="448"/>
      <c r="Q6" s="446">
        <f t="shared" si="0"/>
        <v>1130.845</v>
      </c>
    </row>
    <row r="7" spans="1:17">
      <c r="A7" s="446" t="s">
        <v>105</v>
      </c>
      <c r="B7" s="447">
        <f>landbouw!B8</f>
        <v>5736.4970000000003</v>
      </c>
      <c r="C7" s="447">
        <f>landbouw!C8</f>
        <v>187.07142857142856</v>
      </c>
      <c r="D7" s="447">
        <f>landbouw!D8</f>
        <v>5014.1223880000007</v>
      </c>
      <c r="E7" s="447">
        <f>landbouw!E8</f>
        <v>56.648951965676673</v>
      </c>
      <c r="F7" s="447">
        <f>landbouw!F8</f>
        <v>19138.471857455712</v>
      </c>
      <c r="G7" s="447">
        <f>landbouw!G8</f>
        <v>0</v>
      </c>
      <c r="H7" s="447">
        <f>landbouw!H8</f>
        <v>0</v>
      </c>
      <c r="I7" s="447">
        <f>landbouw!I8</f>
        <v>0</v>
      </c>
      <c r="J7" s="447">
        <f>landbouw!J8</f>
        <v>572.32828556238337</v>
      </c>
      <c r="K7" s="447">
        <f>landbouw!K8</f>
        <v>0</v>
      </c>
      <c r="L7" s="447">
        <f>landbouw!L8</f>
        <v>0</v>
      </c>
      <c r="M7" s="447">
        <f>landbouw!M8</f>
        <v>0</v>
      </c>
      <c r="N7" s="447">
        <f>landbouw!N8</f>
        <v>0</v>
      </c>
      <c r="O7" s="447">
        <f>landbouw!O8</f>
        <v>0</v>
      </c>
      <c r="P7" s="448">
        <f>landbouw!P8</f>
        <v>0</v>
      </c>
      <c r="Q7" s="446">
        <f t="shared" si="0"/>
        <v>30705.139911555205</v>
      </c>
    </row>
    <row r="8" spans="1:17">
      <c r="A8" s="446" t="s">
        <v>640</v>
      </c>
      <c r="B8" s="447">
        <f>industrie!B18</f>
        <v>36997.619999999995</v>
      </c>
      <c r="C8" s="447">
        <f>industrie!C18</f>
        <v>0</v>
      </c>
      <c r="D8" s="447">
        <f>industrie!D18</f>
        <v>119192.190436</v>
      </c>
      <c r="E8" s="447">
        <f>industrie!E18</f>
        <v>357.33161015567714</v>
      </c>
      <c r="F8" s="447">
        <f>industrie!F18</f>
        <v>5684.1273499895215</v>
      </c>
      <c r="G8" s="447">
        <f>industrie!G18</f>
        <v>0</v>
      </c>
      <c r="H8" s="447">
        <f>industrie!H18</f>
        <v>0</v>
      </c>
      <c r="I8" s="447">
        <f>industrie!I18</f>
        <v>0</v>
      </c>
      <c r="J8" s="447">
        <f>industrie!J18</f>
        <v>163.66116620722363</v>
      </c>
      <c r="K8" s="447">
        <f>industrie!K18</f>
        <v>0</v>
      </c>
      <c r="L8" s="447">
        <f>industrie!L18</f>
        <v>0</v>
      </c>
      <c r="M8" s="447">
        <f>industrie!M18</f>
        <v>0</v>
      </c>
      <c r="N8" s="447">
        <f>industrie!N18</f>
        <v>593.46057336553804</v>
      </c>
      <c r="O8" s="447">
        <f>industrie!O18</f>
        <v>0</v>
      </c>
      <c r="P8" s="448">
        <f>industrie!P18</f>
        <v>0</v>
      </c>
      <c r="Q8" s="446">
        <f t="shared" si="0"/>
        <v>162988.39113571795</v>
      </c>
    </row>
    <row r="9" spans="1:17" s="452" customFormat="1">
      <c r="A9" s="450" t="s">
        <v>560</v>
      </c>
      <c r="B9" s="451">
        <f>transport!B14</f>
        <v>4.5441938565653404</v>
      </c>
      <c r="C9" s="451">
        <f>transport!C14</f>
        <v>0</v>
      </c>
      <c r="D9" s="451">
        <f>transport!D14</f>
        <v>5.6507483314736158</v>
      </c>
      <c r="E9" s="451">
        <f>transport!E14</f>
        <v>360.75578825868047</v>
      </c>
      <c r="F9" s="451">
        <f>transport!F14</f>
        <v>0</v>
      </c>
      <c r="G9" s="451">
        <f>transport!G14</f>
        <v>79586.135235449212</v>
      </c>
      <c r="H9" s="451">
        <f>transport!H14</f>
        <v>14408.146866847665</v>
      </c>
      <c r="I9" s="451">
        <f>transport!I14</f>
        <v>0</v>
      </c>
      <c r="J9" s="451">
        <f>transport!J14</f>
        <v>0</v>
      </c>
      <c r="K9" s="451">
        <f>transport!K14</f>
        <v>0</v>
      </c>
      <c r="L9" s="451">
        <f>transport!L14</f>
        <v>0</v>
      </c>
      <c r="M9" s="451">
        <f>transport!M14</f>
        <v>4201.2097083389172</v>
      </c>
      <c r="N9" s="451">
        <f>transport!N14</f>
        <v>0</v>
      </c>
      <c r="O9" s="451">
        <f>transport!O14</f>
        <v>0</v>
      </c>
      <c r="P9" s="451">
        <f>transport!P14</f>
        <v>0</v>
      </c>
      <c r="Q9" s="450">
        <f>SUM(B9:P9)</f>
        <v>98566.442541082521</v>
      </c>
    </row>
    <row r="10" spans="1:17">
      <c r="A10" s="446" t="s">
        <v>550</v>
      </c>
      <c r="B10" s="447">
        <f>transport!B54</f>
        <v>11.355371115440891</v>
      </c>
      <c r="C10" s="447">
        <f>transport!C54</f>
        <v>0</v>
      </c>
      <c r="D10" s="447">
        <f>transport!D54</f>
        <v>0</v>
      </c>
      <c r="E10" s="447">
        <f>transport!E54</f>
        <v>0</v>
      </c>
      <c r="F10" s="447">
        <f>transport!F54</f>
        <v>0</v>
      </c>
      <c r="G10" s="447">
        <f>transport!G54</f>
        <v>2264.8512195626063</v>
      </c>
      <c r="H10" s="447">
        <f>transport!H54</f>
        <v>0</v>
      </c>
      <c r="I10" s="447">
        <f>transport!I54</f>
        <v>0</v>
      </c>
      <c r="J10" s="447">
        <f>transport!J54</f>
        <v>0</v>
      </c>
      <c r="K10" s="447">
        <f>transport!K54</f>
        <v>0</v>
      </c>
      <c r="L10" s="447">
        <f>transport!L54</f>
        <v>0</v>
      </c>
      <c r="M10" s="447">
        <f>transport!M54</f>
        <v>100.10401174089847</v>
      </c>
      <c r="N10" s="447">
        <f>transport!N54</f>
        <v>0</v>
      </c>
      <c r="O10" s="447">
        <f>transport!O54</f>
        <v>0</v>
      </c>
      <c r="P10" s="448">
        <f>transport!P54</f>
        <v>0</v>
      </c>
      <c r="Q10" s="446">
        <f t="shared" si="0"/>
        <v>2376.3106024189456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741.54600000000005</v>
      </c>
      <c r="C14" s="454"/>
      <c r="D14" s="454">
        <f>'SEAP template'!E25</f>
        <v>1695.5260000000001</v>
      </c>
      <c r="E14" s="454"/>
      <c r="F14" s="454"/>
      <c r="G14" s="454"/>
      <c r="H14" s="454"/>
      <c r="I14" s="454"/>
      <c r="J14" s="454"/>
      <c r="K14" s="454"/>
      <c r="L14" s="454"/>
      <c r="M14" s="454"/>
      <c r="N14" s="454"/>
      <c r="O14" s="454"/>
      <c r="P14" s="455"/>
      <c r="Q14" s="446">
        <f t="shared" si="0"/>
        <v>2437.0720000000001</v>
      </c>
    </row>
    <row r="15" spans="1:17" s="459" customFormat="1">
      <c r="A15" s="456" t="s">
        <v>554</v>
      </c>
      <c r="B15" s="457">
        <f ca="1">SUM(B4:B14)</f>
        <v>104580.77369631338</v>
      </c>
      <c r="C15" s="457">
        <f t="shared" ref="C15:Q15" ca="1" si="1">SUM(C4:C14)</f>
        <v>187.07142857142856</v>
      </c>
      <c r="D15" s="457">
        <f t="shared" ca="1" si="1"/>
        <v>186478.0604903315</v>
      </c>
      <c r="E15" s="457">
        <f t="shared" si="1"/>
        <v>2854.6980217613082</v>
      </c>
      <c r="F15" s="457">
        <f t="shared" ca="1" si="1"/>
        <v>87235.788242149778</v>
      </c>
      <c r="G15" s="457">
        <f t="shared" si="1"/>
        <v>81850.986455011822</v>
      </c>
      <c r="H15" s="457">
        <f t="shared" si="1"/>
        <v>14408.146866847665</v>
      </c>
      <c r="I15" s="457">
        <f t="shared" si="1"/>
        <v>0</v>
      </c>
      <c r="J15" s="457">
        <f t="shared" si="1"/>
        <v>1754.2144769456072</v>
      </c>
      <c r="K15" s="457">
        <f t="shared" si="1"/>
        <v>0</v>
      </c>
      <c r="L15" s="457">
        <f t="shared" ca="1" si="1"/>
        <v>0</v>
      </c>
      <c r="M15" s="457">
        <f t="shared" si="1"/>
        <v>4301.3137200798155</v>
      </c>
      <c r="N15" s="457">
        <f t="shared" ca="1" si="1"/>
        <v>12290.249498739791</v>
      </c>
      <c r="O15" s="457">
        <f t="shared" si="1"/>
        <v>107.86999999999999</v>
      </c>
      <c r="P15" s="457">
        <f t="shared" si="1"/>
        <v>362.26666666666665</v>
      </c>
      <c r="Q15" s="457">
        <f t="shared" ca="1" si="1"/>
        <v>496411.43956341868</v>
      </c>
    </row>
    <row r="17" spans="1:17">
      <c r="A17" s="460" t="s">
        <v>555</v>
      </c>
      <c r="B17" s="729">
        <f ca="1">huishoudens!B10</f>
        <v>0.2034510156647838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5925.0195237555345</v>
      </c>
      <c r="C22" s="447">
        <f t="shared" ref="C22:C32" ca="1" si="3">C4*$C$17</f>
        <v>0</v>
      </c>
      <c r="D22" s="447">
        <f t="shared" ref="D22:D32" si="4">D4*$D$17</f>
        <v>8254.5589015559999</v>
      </c>
      <c r="E22" s="447">
        <f t="shared" ref="E22:E32" si="5">E4*$E$17</f>
        <v>417.83510298052147</v>
      </c>
      <c r="F22" s="447">
        <f t="shared" ref="F22:F32" si="6">F4*$F$17</f>
        <v>14983.262748827552</v>
      </c>
      <c r="G22" s="447">
        <f t="shared" ref="G22:G32" si="7">G4*$G$17</f>
        <v>0</v>
      </c>
      <c r="H22" s="447">
        <f t="shared" ref="H22:H32" si="8">H4*$H$17</f>
        <v>0</v>
      </c>
      <c r="I22" s="447">
        <f t="shared" ref="I22:I32" si="9">I4*$I$17</f>
        <v>0</v>
      </c>
      <c r="J22" s="447">
        <f t="shared" ref="J22:J32" si="10">J4*$J$17</f>
        <v>360.45165891230403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29941.127936031913</v>
      </c>
    </row>
    <row r="23" spans="1:17">
      <c r="A23" s="446" t="s">
        <v>149</v>
      </c>
      <c r="B23" s="447">
        <f t="shared" ca="1" si="2"/>
        <v>6273.5709632668431</v>
      </c>
      <c r="C23" s="447">
        <f t="shared" ca="1" si="3"/>
        <v>0</v>
      </c>
      <c r="D23" s="447">
        <f t="shared" ca="1" si="4"/>
        <v>3980.6964238800001</v>
      </c>
      <c r="E23" s="447">
        <f t="shared" si="5"/>
        <v>54.316196423027726</v>
      </c>
      <c r="F23" s="447">
        <f t="shared" ca="1" si="6"/>
        <v>1681.0587234385646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11989.642307008435</v>
      </c>
    </row>
    <row r="24" spans="1:17">
      <c r="A24" s="446" t="s">
        <v>187</v>
      </c>
      <c r="B24" s="447">
        <f t="shared" ca="1" si="2"/>
        <v>230.07156380944244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230.07156380944244</v>
      </c>
    </row>
    <row r="25" spans="1:17">
      <c r="A25" s="446" t="s">
        <v>105</v>
      </c>
      <c r="B25" s="447">
        <f t="shared" ca="1" si="2"/>
        <v>1167.0961410079854</v>
      </c>
      <c r="C25" s="447">
        <f t="shared" ca="1" si="3"/>
        <v>0</v>
      </c>
      <c r="D25" s="447">
        <f t="shared" si="4"/>
        <v>1012.8527223760002</v>
      </c>
      <c r="E25" s="447">
        <f t="shared" si="5"/>
        <v>12.859312096208605</v>
      </c>
      <c r="F25" s="447">
        <f t="shared" si="6"/>
        <v>5109.971985940675</v>
      </c>
      <c r="G25" s="447">
        <f t="shared" si="7"/>
        <v>0</v>
      </c>
      <c r="H25" s="447">
        <f t="shared" si="8"/>
        <v>0</v>
      </c>
      <c r="I25" s="447">
        <f t="shared" si="9"/>
        <v>0</v>
      </c>
      <c r="J25" s="447">
        <f t="shared" si="10"/>
        <v>202.60421308908371</v>
      </c>
      <c r="K25" s="447">
        <f t="shared" si="11"/>
        <v>0</v>
      </c>
      <c r="L25" s="447">
        <f t="shared" si="12"/>
        <v>0</v>
      </c>
      <c r="M25" s="447">
        <f t="shared" si="13"/>
        <v>0</v>
      </c>
      <c r="N25" s="447">
        <f t="shared" si="14"/>
        <v>0</v>
      </c>
      <c r="O25" s="447">
        <f t="shared" si="15"/>
        <v>0</v>
      </c>
      <c r="P25" s="448">
        <f t="shared" si="16"/>
        <v>0</v>
      </c>
      <c r="Q25" s="446">
        <f t="shared" ca="1" si="17"/>
        <v>7505.384374509953</v>
      </c>
    </row>
    <row r="26" spans="1:17">
      <c r="A26" s="446" t="s">
        <v>640</v>
      </c>
      <c r="B26" s="447">
        <f t="shared" ca="1" si="2"/>
        <v>7527.2033661797177</v>
      </c>
      <c r="C26" s="447">
        <f t="shared" ca="1" si="3"/>
        <v>0</v>
      </c>
      <c r="D26" s="447">
        <f t="shared" si="4"/>
        <v>24076.822468072001</v>
      </c>
      <c r="E26" s="447">
        <f t="shared" si="5"/>
        <v>81.114275505338711</v>
      </c>
      <c r="F26" s="447">
        <f t="shared" si="6"/>
        <v>1517.6620024472022</v>
      </c>
      <c r="G26" s="447">
        <f t="shared" si="7"/>
        <v>0</v>
      </c>
      <c r="H26" s="447">
        <f t="shared" si="8"/>
        <v>0</v>
      </c>
      <c r="I26" s="447">
        <f t="shared" si="9"/>
        <v>0</v>
      </c>
      <c r="J26" s="447">
        <f t="shared" si="10"/>
        <v>57.93605283735716</v>
      </c>
      <c r="K26" s="447">
        <f t="shared" si="11"/>
        <v>0</v>
      </c>
      <c r="L26" s="447">
        <f t="shared" si="12"/>
        <v>0</v>
      </c>
      <c r="M26" s="447">
        <f t="shared" si="13"/>
        <v>0</v>
      </c>
      <c r="N26" s="447">
        <f t="shared" si="14"/>
        <v>0</v>
      </c>
      <c r="O26" s="447">
        <f t="shared" si="15"/>
        <v>0</v>
      </c>
      <c r="P26" s="448">
        <f t="shared" si="16"/>
        <v>0</v>
      </c>
      <c r="Q26" s="446">
        <f t="shared" ca="1" si="17"/>
        <v>33260.738165041614</v>
      </c>
    </row>
    <row r="27" spans="1:17" s="452" customFormat="1">
      <c r="A27" s="450" t="s">
        <v>560</v>
      </c>
      <c r="B27" s="723">
        <f t="shared" ca="1" si="2"/>
        <v>0.92452085549588936</v>
      </c>
      <c r="C27" s="451">
        <f t="shared" ca="1" si="3"/>
        <v>0</v>
      </c>
      <c r="D27" s="451">
        <f t="shared" si="4"/>
        <v>1.1414511629576705</v>
      </c>
      <c r="E27" s="451">
        <f t="shared" si="5"/>
        <v>81.891563934720466</v>
      </c>
      <c r="F27" s="451">
        <f t="shared" si="6"/>
        <v>0</v>
      </c>
      <c r="G27" s="451">
        <f t="shared" si="7"/>
        <v>21249.49810786494</v>
      </c>
      <c r="H27" s="451">
        <f t="shared" si="8"/>
        <v>3587.6285698450683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24921.084213663184</v>
      </c>
    </row>
    <row r="28" spans="1:17">
      <c r="A28" s="446" t="s">
        <v>550</v>
      </c>
      <c r="B28" s="447">
        <f t="shared" ca="1" si="2"/>
        <v>2.3102617866869979</v>
      </c>
      <c r="C28" s="447">
        <f t="shared" ca="1" si="3"/>
        <v>0</v>
      </c>
      <c r="D28" s="447">
        <f t="shared" si="4"/>
        <v>0</v>
      </c>
      <c r="E28" s="447">
        <f t="shared" si="5"/>
        <v>0</v>
      </c>
      <c r="F28" s="447">
        <f t="shared" si="6"/>
        <v>0</v>
      </c>
      <c r="G28" s="447">
        <f t="shared" si="7"/>
        <v>604.71527562321592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607.02553740990288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150.86828686215779</v>
      </c>
      <c r="C32" s="447">
        <f t="shared" ca="1" si="3"/>
        <v>0</v>
      </c>
      <c r="D32" s="447">
        <f t="shared" si="4"/>
        <v>342.49625200000003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493.36453886215781</v>
      </c>
    </row>
    <row r="33" spans="1:17" s="459" customFormat="1">
      <c r="A33" s="456" t="s">
        <v>554</v>
      </c>
      <c r="B33" s="457">
        <f ca="1">SUM(B22:B32)</f>
        <v>21277.064627523865</v>
      </c>
      <c r="C33" s="457">
        <f t="shared" ref="C33:Q33" ca="1" si="18">SUM(C22:C32)</f>
        <v>0</v>
      </c>
      <c r="D33" s="457">
        <f t="shared" ca="1" si="18"/>
        <v>37668.568219046952</v>
      </c>
      <c r="E33" s="457">
        <f t="shared" si="18"/>
        <v>648.01645093981699</v>
      </c>
      <c r="F33" s="457">
        <f t="shared" ca="1" si="18"/>
        <v>23291.955460653997</v>
      </c>
      <c r="G33" s="457">
        <f t="shared" si="18"/>
        <v>21854.213383488157</v>
      </c>
      <c r="H33" s="457">
        <f t="shared" si="18"/>
        <v>3587.6285698450683</v>
      </c>
      <c r="I33" s="457">
        <f t="shared" si="18"/>
        <v>0</v>
      </c>
      <c r="J33" s="457">
        <f t="shared" si="18"/>
        <v>620.99192483874492</v>
      </c>
      <c r="K33" s="457">
        <f t="shared" si="18"/>
        <v>0</v>
      </c>
      <c r="L33" s="457">
        <f t="shared" ca="1" si="18"/>
        <v>0</v>
      </c>
      <c r="M33" s="457">
        <f t="shared" si="18"/>
        <v>0</v>
      </c>
      <c r="N33" s="457">
        <f t="shared" ca="1" si="18"/>
        <v>0</v>
      </c>
      <c r="O33" s="457">
        <f t="shared" si="18"/>
        <v>0</v>
      </c>
      <c r="P33" s="457">
        <f t="shared" si="18"/>
        <v>0</v>
      </c>
      <c r="Q33" s="457">
        <f t="shared" ca="1" si="18"/>
        <v>108948.43863633659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8173.5131645312022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130.94999999999999</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154.05882352941174</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8304.463164531202</v>
      </c>
      <c r="C10" s="981">
        <f>SUM(C4:C9)</f>
        <v>0</v>
      </c>
      <c r="D10" s="981">
        <f t="shared" ref="D10:H10" si="0">SUM(D8:D9)</f>
        <v>0</v>
      </c>
      <c r="E10" s="981">
        <f t="shared" si="0"/>
        <v>0</v>
      </c>
      <c r="F10" s="981">
        <f t="shared" si="0"/>
        <v>0</v>
      </c>
      <c r="G10" s="981">
        <f t="shared" si="0"/>
        <v>0</v>
      </c>
      <c r="H10" s="981">
        <f t="shared" si="0"/>
        <v>0</v>
      </c>
      <c r="I10" s="981">
        <f>SUM(I8:I9)</f>
        <v>0</v>
      </c>
      <c r="J10" s="981">
        <f>SUM(J8:J9)</f>
        <v>154.05882352941174</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0.2034510156647838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187.07142857142856</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220.08403361344537</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187.07142857142856</v>
      </c>
      <c r="C20" s="981">
        <f>SUM(C17:C19)</f>
        <v>0</v>
      </c>
      <c r="D20" s="981">
        <f t="shared" ref="D20:H20" si="2">SUM(D17:D19)</f>
        <v>0</v>
      </c>
      <c r="E20" s="981">
        <f t="shared" si="2"/>
        <v>0</v>
      </c>
      <c r="F20" s="981">
        <f t="shared" si="2"/>
        <v>0</v>
      </c>
      <c r="G20" s="981">
        <f t="shared" si="2"/>
        <v>0</v>
      </c>
      <c r="H20" s="981">
        <f t="shared" si="2"/>
        <v>0</v>
      </c>
      <c r="I20" s="981">
        <f>SUM(I17:I19)</f>
        <v>0</v>
      </c>
      <c r="J20" s="981">
        <f>SUM(J17:J19)</f>
        <v>220.08403361344537</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0.2034510156647838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2022-07-26T12:39:13Z</dcterms:modified>
</cp:coreProperties>
</file>