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EEF864B-3F5D-42D2-9F70-5DF818B2359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9" i="18"/>
  <c r="E9"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Q39" i="18"/>
  <c r="R39" i="18"/>
  <c r="J9" i="18"/>
  <c r="U39" i="18"/>
  <c r="T39" i="18"/>
  <c r="I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48" i="18"/>
  <c r="F52" i="18"/>
  <c r="F20" i="18"/>
  <c r="B17" i="18"/>
  <c r="C48" i="18"/>
  <c r="B51" i="18"/>
  <c r="C8" i="18"/>
  <c r="G20" i="18"/>
  <c r="K20" i="18"/>
  <c r="B10" i="18"/>
  <c r="O9" i="18"/>
  <c r="O19" i="18"/>
  <c r="O18" i="18"/>
  <c r="B20" i="18"/>
  <c r="I51" i="18"/>
  <c r="H8" i="18"/>
  <c r="H10" i="18"/>
  <c r="E51" i="18"/>
  <c r="E8" i="18"/>
  <c r="E10" i="18"/>
  <c r="D51" i="18"/>
  <c r="F51" i="18"/>
  <c r="N6" i="17"/>
  <c r="L6" i="17"/>
  <c r="F6" i="17"/>
  <c r="D6" i="17"/>
  <c r="C6" i="17"/>
  <c r="N16" i="16"/>
  <c r="L16" i="16"/>
  <c r="F16" i="16"/>
  <c r="D16" i="16"/>
  <c r="C16" i="16"/>
  <c r="B16" i="16"/>
  <c r="B13" i="15"/>
  <c r="H51" i="18"/>
  <c r="C51" i="18"/>
  <c r="J8" i="18"/>
  <c r="C52" i="18"/>
  <c r="H52" i="18"/>
  <c r="G52" i="18"/>
  <c r="I17" i="18"/>
  <c r="I52" i="18"/>
  <c r="H17" i="18"/>
  <c r="H20" i="18"/>
  <c r="D52" i="18"/>
  <c r="E52" i="18"/>
  <c r="E17" i="18"/>
  <c r="E20" i="18"/>
  <c r="B52" i="18"/>
  <c r="C17" i="18"/>
  <c r="C20" i="18"/>
  <c r="G51"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<sst xmlns="http://schemas.openxmlformats.org/spreadsheetml/2006/main" count="2517" uniqueCount="947">
  <si>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</si>
  <si>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</si>
  <si>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</si>
  <si>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</si>
  <si>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</si>
  <si>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</si>
  <si>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</si>
  <si>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</si>
  <si>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</si>
  <si>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</si>
  <si>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</si>
  <si>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</si>
  <si>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</si>
  <si>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</si>
  <si>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</si>
  <si>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</si>
  <si>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</si>
  <si>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</si>
  <si>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</si>
  <si>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</si>
  <si>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</si>
  <si>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</si>
  <si>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</si>
  <si>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</si>
  <si>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</si>
  <si>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</si>
  <si>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</si>
  <si>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</si>
  <si>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</si>
  <si>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</si>
  <si>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</si>
  <si>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</si>
  <si>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</si>
  <si>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</si>
  <si>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</si>
  <si>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</si>
  <si>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</si>
  <si>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</si>
  <si>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</si>
  <si>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</si>
  <si>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</si>
  <si>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</si>
  <si>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</si>
  <si>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</si>
  <si>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</si>
  <si>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</si>
  <si>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</si>
  <si>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</si>
  <si>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</si>
  <si>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</si>
  <si>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</si>
  <si>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</si>
  <si>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</si>
  <si>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</si>
  <si>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</si>
  <si>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</si>
  <si>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</si>
  <si>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</si>
  <si>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</si>
  <si>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</si>
  <si>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</si>
  <si>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</si>
  <si>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</si>
  <si>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</si>
  <si>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</si>
  <si>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</si>
  <si>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</si>
  <si>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</si>
  <si>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</si>
  <si>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</si>
  <si>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</si>
  <si>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</si>
  <si>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</si>
  <si>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</si>
  <si>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</si>
  <si>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</si>
  <si>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</si>
  <si>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</si>
  <si>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</si>
  <si>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</si>
  <si>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</si>
  <si>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</si>
  <si>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</si>
  <si>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</si>
  <si>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</si>
  <si>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</si>
  <si>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</si>
  <si>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</si>
  <si>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</si>
  <si>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</si>
  <si>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</si>
  <si>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</si>
  <si>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</si>
  <si>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</si>
  <si>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</si>
  <si>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</si>
  <si>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</si>
  <si>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</si>
  <si>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</si>
  <si>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</si>
  <si>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</si>
  <si>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</si>
  <si>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</si>
  <si>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</si>
  <si>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</si>
  <si>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</si>
  <si>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</si>
  <si>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</si>
  <si>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</si>
  <si>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</si>
  <si>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</si>
  <si>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</si>
  <si>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</si>
  <si>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</si>
  <si>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</si>
  <si>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</si>
  <si>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</si>
  <si>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</si>
  <si>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</si>
  <si>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</si>
  <si>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</si>
  <si>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</si>
  <si>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</si>
  <si>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</si>
  <si>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</si>
  <si>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</si>
  <si>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</si>
  <si>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</si>
  <si>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</si>
  <si>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</si>
  <si>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</si>
  <si>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</si>
  <si>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</si>
  <si>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</si>
  <si>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</si>
  <si>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</si>
  <si>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</si>
  <si>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</si>
  <si>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</si>
  <si>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</si>
  <si>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</si>
  <si>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</si>
  <si>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</si>
  <si>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</si>
  <si>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</si>
  <si>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</si>
  <si>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</si>
  <si>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</si>
  <si>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</si>
  <si>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</si>
  <si>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</si>
  <si>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</si>
  <si>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</si>
  <si>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</si>
  <si>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</si>
  <si>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</si>
  <si>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</si>
  <si>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</si>
  <si>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</si>
  <si>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</si>
  <si>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</si>
  <si>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</si>
  <si>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</si>
  <si>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</si>
  <si>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</si>
  <si>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</si>
  <si>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</si>
  <si>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</si>
  <si>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</si>
  <si>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</si>
  <si>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</si>
  <si>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</si>
  <si>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</si>
  <si>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</si>
  <si>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</si>
  <si>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</si>
  <si>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</si>
  <si>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</si>
  <si>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</si>
  <si>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</si>
  <si>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</si>
  <si>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</si>
  <si>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</si>
  <si>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</si>
  <si>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</si>
  <si>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</si>
  <si>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</si>
  <si>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</si>
  <si>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</si>
  <si>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</si>
  <si>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</si>
  <si>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</si>
  <si>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</si>
  <si>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</si>
  <si>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</si>
  <si>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</si>
  <si>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</si>
  <si>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</si>
  <si>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</si>
  <si>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</si>
  <si>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</si>
  <si>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</si>
  <si>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</si>
  <si>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</si>
  <si>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</si>
  <si>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</si>
  <si>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</si>
  <si>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</si>
  <si>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</si>
  <si>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</si>
  <si>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</si>
  <si>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</si>
  <si>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</si>
  <si>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</si>
  <si>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</si>
  <si>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</si>
  <si>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</si>
  <si>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</si>
  <si>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</si>
  <si>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</si>
  <si>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</si>
  <si>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</si>
  <si>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</si>
  <si>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</si>
  <si>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</si>
  <si>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</si>
  <si>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</si>
  <si>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</si>
  <si>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</si>
  <si>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</si>
  <si>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</si>
  <si>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</si>
  <si>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</si>
  <si>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</si>
  <si>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</si>
  <si>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</si>
  <si>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</si>
  <si>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</si>
  <si>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</si>
  <si>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</si>
  <si>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</si>
  <si>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</si>
  <si>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</si>
  <si>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</si>
  <si>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</si>
  <si>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</si>
  <si>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</si>
  <si>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</si>
  <si>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</si>
  <si>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</si>
  <si>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</si>
  <si>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</si>
  <si>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</si>
  <si>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</si>
  <si>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</si>
  <si>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</si>
  <si>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</si>
  <si>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</si>
  <si>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</si>
  <si>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</si>
  <si>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</si>
  <si>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</si>
  <si>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</si>
  <si>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</si>
  <si>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</si>
  <si>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</si>
  <si>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</si>
  <si>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</si>
  <si>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</si>
  <si>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</si>
  <si>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</si>
  <si>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</si>
  <si>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</si>
  <si>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</si>
  <si>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</si>
  <si>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</si>
  <si>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</si>
  <si>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</si>
  <si>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</si>
  <si>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</si>
  <si>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</si>
  <si>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</si>
  <si>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</si>
  <si>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</si>
  <si>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</si>
  <si>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</si>
  <si>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</si>
  <si>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</si>
  <si>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</si>
  <si>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</si>
  <si>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</si>
  <si>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</si>
  <si>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</si>
  <si>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</si>
  <si>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</si>
  <si>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</si>
  <si>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</si>
  <si>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</si>
  <si>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</si>
  <si>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</si>
  <si>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</si>
  <si>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</si>
  <si>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</si>
  <si>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</si>
  <si>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</si>
  <si>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</si>
  <si>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</si>
  <si>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</si>
  <si>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</si>
  <si>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</si>
  <si>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</si>
  <si>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</si>
  <si>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</si>
  <si>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</si>
  <si>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</si>
  <si>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</si>
  <si>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</si>
  <si>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</si>
  <si>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</si>
  <si>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</si>
  <si>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</si>
  <si>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</si>
  <si>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</si>
  <si>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</si>
  <si>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</si>
  <si>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</si>
  <si>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</si>
  <si>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</si>
  <si>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</si>
  <si>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</si>
  <si>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</si>
  <si>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</si>
  <si>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</si>
  <si>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</si>
  <si>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</si>
  <si>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</si>
  <si>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</si>
  <si>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</si>
  <si>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</si>
  <si>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</si>
  <si>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</si>
  <si>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</si>
  <si>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</si>
  <si>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</si>
  <si>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</si>
  <si>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</si>
  <si>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</si>
  <si>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</si>
  <si>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</si>
  <si>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</si>
  <si>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</si>
  <si>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</si>
  <si>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</si>
  <si>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</si>
  <si>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</si>
  <si>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</si>
  <si>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</si>
  <si>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</si>
  <si>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</si>
  <si>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</si>
  <si>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</si>
  <si>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</si>
  <si>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</si>
  <si>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</si>
  <si>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</si>
  <si>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</si>
  <si>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</si>
  <si>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</si>
  <si>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</si>
  <si>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</si>
  <si>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</si>
  <si>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</si>
  <si>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</si>
  <si>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</si>
  <si>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</si>
  <si>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</si>
  <si>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</si>
  <si>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</si>
  <si>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</si>
  <si>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</si>
  <si>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</si>
  <si>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</si>
  <si>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</si>
  <si>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</si>
  <si>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</si>
  <si>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</si>
  <si>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</si>
  <si>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</si>
  <si>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</si>
  <si>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</si>
  <si>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</si>
  <si>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</si>
  <si>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</si>
  <si>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</si>
  <si>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</si>
  <si>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</si>
  <si>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</si>
  <si>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</si>
  <si>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</si>
  <si>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</si>
  <si>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</si>
  <si>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</si>
  <si>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</si>
  <si>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</si>
  <si>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</si>
  <si>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</si>
  <si>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</si>
  <si>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</si>
  <si>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</si>
  <si>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</si>
  <si>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</si>
  <si>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</si>
  <si>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</si>
  <si>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</si>
  <si>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</si>
  <si>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</si>
  <si>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</si>
  <si>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</si>
  <si>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</si>
  <si>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</si>
  <si>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</si>
  <si>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</si>
  <si>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</si>
  <si>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</si>
  <si>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</si>
  <si>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</si>
  <si>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</si>
  <si>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</si>
  <si>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</si>
  <si>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</si>
  <si>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</si>
  <si>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</si>
  <si>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</si>
  <si>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</si>
  <si>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</si>
  <si>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</si>
  <si>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</si>
  <si>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</si>
  <si>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</si>
  <si>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</si>
  <si>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</si>
  <si>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</si>
  <si>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</si>
  <si>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</si>
  <si>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</si>
  <si>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</si>
  <si>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</si>
  <si>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</si>
  <si>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</si>
  <si>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</si>
  <si>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</si>
  <si>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</si>
  <si>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</si>
  <si>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</si>
  <si>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</si>
  <si>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</si>
  <si>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</si>
  <si>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</si>
  <si>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</si>
  <si>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</si>
  <si>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</si>
  <si>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</si>
  <si>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</si>
  <si>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</si>
  <si>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</si>
  <si>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</si>
  <si>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</si>
  <si>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</si>
  <si>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</si>
  <si>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</si>
  <si>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</si>
  <si>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</si>
  <si>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</si>
  <si>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</si>
  <si>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</si>
  <si>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</si>
  <si>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</si>
  <si>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</si>
  <si>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</si>
  <si>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</si>
  <si>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</si>
  <si>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</si>
  <si>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</si>
  <si>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</si>
  <si>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</si>
  <si>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</si>
  <si>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</si>
  <si>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</si>
  <si>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</si>
  <si>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</si>
  <si>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</si>
  <si>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</si>
  <si>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</si>
  <si>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</si>
  <si>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</si>
  <si>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</si>
  <si>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</si>
  <si>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</si>
  <si>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</si>
  <si>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</si>
  <si>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</si>
  <si>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</si>
  <si>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</si>
  <si>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</si>
  <si>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</si>
  <si>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</si>
  <si>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</si>
  <si>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</si>
  <si>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</si>
  <si>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</si>
  <si>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</si>
  <si>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</si>
  <si>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</si>
  <si>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</si>
  <si>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</si>
  <si>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</si>
  <si>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</si>
  <si>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</si>
  <si>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</si>
  <si>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</si>
  <si>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</si>
  <si>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</si>
  <si>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</si>
  <si>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</si>
  <si>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</si>
  <si>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</si>
  <si>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</si>
  <si>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</si>
  <si>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</si>
  <si>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</si>
  <si>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</si>
  <si>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</si>
  <si>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</si>
  <si>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</si>
  <si>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</si>
  <si>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</si>
  <si>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</si>
  <si>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</si>
  <si>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</si>
  <si>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</si>
  <si>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</si>
  <si>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</si>
  <si>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</si>
  <si>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</si>
  <si>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</si>
  <si>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</si>
  <si>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</si>
  <si>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71022</t>
  </si>
  <si>
    <t>HASSELT</t>
  </si>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</sst>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1231F4D-54F1-4645-BC8F-E20D412E2DF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695</v>
      </c>
      <c r="B2" s="388"/>
      <c r="C2" s="389"/>
    </row>
    <row r="3" spans="1:7" s="12" customFormat="1" ht="15" customHeight="1">
      <c r="A3" s="94"/>
      <c r="B3" s="75"/>
      <c r="C3" s="95"/>
    </row>
    <row r="4" spans="1:7" s="12" customFormat="1" ht="15.75" customHeight="1" thickBot="1">
      <c r="A4" s="106" t="s">
        <v>924</v>
      </c>
      <c r="B4" s="107"/>
      <c r="C4" s="108"/>
    </row>
    <row r="5" spans="1:7" s="382" customFormat="1" ht="15.75" customHeight="1">
      <c r="A5" s="379" t="s">
        <v>0</v>
      </c>
      <c r="B5" s="380"/>
      <c r="C5" s="381"/>
    </row>
    <row r="6" spans="1:7" s="382" customFormat="1" ht="15" customHeight="1">
      <c r="A6" s="383" t="str">
        <f>txtNIS</f>
        <v>71022</v>
      </c>
      <c r="B6" s="384"/>
      <c r="C6" s="385"/>
    </row>
    <row r="7" spans="1:7" s="382" customFormat="1" ht="15.75" customHeight="1">
      <c r="A7" s="386" t="str">
        <f>txtMunicipality</f>
        <v>HASSELT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921</v>
      </c>
      <c r="B10" s="1028"/>
      <c r="C10" s="1029"/>
    </row>
    <row r="11" spans="1:7" s="376" customFormat="1" ht="15.75" thickBot="1">
      <c r="A11" s="399" t="s">
        <v>347</v>
      </c>
      <c r="B11" s="402"/>
      <c r="C11" s="403"/>
      <c r="G11" s="377"/>
    </row>
    <row r="12" spans="1:7">
      <c r="A12" s="45"/>
      <c r="B12" s="44"/>
      <c r="C12" s="97"/>
    </row>
    <row r="13" spans="1:7" s="376" customFormat="1">
      <c r="A13" s="718" t="s">
        <v>594</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641</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574</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577</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586</v>
      </c>
      <c r="B17" s="496">
        <f ca="1">'EF ele_warmte'!B12</f>
        <v>0.2025936153876903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577</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583</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586</v>
      </c>
      <c r="B29" s="497">
        <f ca="1">'EF ele_warmte'!B12</f>
        <v>0.2025936153876903</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565</v>
      </c>
      <c r="B10" s="499"/>
      <c r="C10" s="143" t="s">
        <v>175</v>
      </c>
      <c r="D10" s="146" t="s">
        <v>380</v>
      </c>
      <c r="I10" s="1152"/>
      <c r="K10" s="59"/>
    </row>
    <row r="11" spans="1:11" s="44" customFormat="1">
      <c r="A11" s="45" t="s">
        <v>566</v>
      </c>
      <c r="B11" s="48"/>
      <c r="D11" s="144" t="s">
        <v>381</v>
      </c>
      <c r="I11" s="1152"/>
      <c r="K11" s="59"/>
    </row>
    <row r="12" spans="1:11" s="44" customFormat="1">
      <c r="A12" s="45" t="s">
        <v>567</v>
      </c>
      <c r="B12" s="48"/>
      <c r="D12" s="144" t="s">
        <v>381</v>
      </c>
      <c r="I12" s="1152"/>
      <c r="K12" s="59"/>
    </row>
    <row r="13" spans="1:11" s="44" customFormat="1">
      <c r="A13" s="45"/>
      <c r="B13" s="447"/>
      <c r="D13" s="97"/>
      <c r="I13" s="1152"/>
    </row>
    <row r="14" spans="1:11" s="44" customFormat="1">
      <c r="A14" s="299" t="s">
        <v>564</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575</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565</v>
      </c>
      <c r="B31" s="499"/>
      <c r="C31" s="143" t="s">
        <v>175</v>
      </c>
      <c r="D31" s="146" t="s">
        <v>380</v>
      </c>
    </row>
    <row r="32" spans="1:11">
      <c r="A32" s="437" t="s">
        <v>566</v>
      </c>
      <c r="B32" s="48"/>
      <c r="C32" s="49"/>
      <c r="D32" s="144" t="s">
        <v>381</v>
      </c>
    </row>
    <row r="33" spans="1:11">
      <c r="A33" s="45"/>
      <c r="B33" s="49"/>
      <c r="C33" s="49"/>
      <c r="D33" s="144"/>
    </row>
    <row r="34" spans="1:11" s="44" customFormat="1">
      <c r="A34" s="299" t="s">
        <v>564</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568</v>
      </c>
      <c r="B50" s="48"/>
      <c r="C50" s="33"/>
      <c r="D50" s="145" t="s">
        <v>382</v>
      </c>
    </row>
    <row r="51" spans="1:4">
      <c r="A51" s="45" t="s">
        <v>569</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570</v>
      </c>
      <c r="B57" s="48"/>
      <c r="C57" s="33"/>
      <c r="D57" s="144" t="s">
        <v>148</v>
      </c>
    </row>
    <row r="58" spans="1:4">
      <c r="A58" s="45" t="s">
        <v>571</v>
      </c>
      <c r="B58" s="48"/>
      <c r="C58" s="33"/>
      <c r="D58" s="144" t="s">
        <v>149</v>
      </c>
    </row>
    <row r="59" spans="1:4">
      <c r="A59" s="45" t="s">
        <v>572</v>
      </c>
      <c r="B59" s="48"/>
      <c r="C59" s="49"/>
      <c r="D59" s="144" t="s">
        <v>378</v>
      </c>
    </row>
    <row r="60" spans="1:4">
      <c r="A60" s="45" t="s">
        <v>573</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587</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628</v>
      </c>
      <c r="C21" s="132" t="s">
        <v>578</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547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547</v>
      </c>
      <c r="B4" s="327"/>
      <c r="C4" s="327"/>
      <c r="D4" s="327"/>
      <c r="E4" s="327"/>
      <c r="F4" s="327"/>
    </row>
    <row r="5" spans="1:6" ht="22.5">
      <c r="A5" s="1249" t="s">
        <v>548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33745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737</v>
      </c>
      <c r="B14" s="1259">
        <v>3042</v>
      </c>
      <c r="C14" s="327"/>
      <c r="D14" s="327"/>
      <c r="E14" s="327"/>
      <c r="F14" s="327"/>
    </row>
    <row r="15" spans="1:6">
      <c r="A15" s="1258" t="s">
        <v>177</v>
      </c>
      <c r="B15" s="1259">
        <v>3632</v>
      </c>
      <c r="C15" s="327"/>
      <c r="D15" s="327"/>
      <c r="E15" s="327"/>
      <c r="F15" s="327"/>
    </row>
    <row r="16" spans="1:6">
      <c r="A16" s="1258" t="s">
        <v>6</v>
      </c>
      <c r="B16" s="1259">
        <v>516</v>
      </c>
      <c r="C16" s="327"/>
      <c r="D16" s="327"/>
      <c r="E16" s="327"/>
      <c r="F16" s="327"/>
    </row>
    <row r="17" spans="1:6">
      <c r="A17" s="1258" t="s">
        <v>7</v>
      </c>
      <c r="B17" s="1259">
        <v>348</v>
      </c>
      <c r="C17" s="327"/>
      <c r="D17" s="327"/>
      <c r="E17" s="327"/>
      <c r="F17" s="327"/>
    </row>
    <row r="18" spans="1:6">
      <c r="A18" s="1258" t="s">
        <v>8</v>
      </c>
      <c r="B18" s="1259">
        <v>562</v>
      </c>
      <c r="C18" s="327"/>
      <c r="D18" s="327"/>
      <c r="E18" s="327"/>
      <c r="F18" s="327"/>
    </row>
    <row r="19" spans="1:6">
      <c r="A19" s="1258" t="s">
        <v>9</v>
      </c>
      <c r="B19" s="1259">
        <v>485</v>
      </c>
      <c r="C19" s="327"/>
      <c r="D19" s="327"/>
      <c r="E19" s="327"/>
      <c r="F19" s="327"/>
    </row>
    <row r="20" spans="1:6">
      <c r="A20" s="1258" t="s">
        <v>10</v>
      </c>
      <c r="B20" s="1259">
        <v>505</v>
      </c>
      <c r="C20" s="327"/>
      <c r="D20" s="327"/>
      <c r="E20" s="327"/>
      <c r="F20" s="327"/>
    </row>
    <row r="21" spans="1:6">
      <c r="A21" s="1258" t="s">
        <v>11</v>
      </c>
      <c r="B21" s="1259">
        <v>1399</v>
      </c>
      <c r="C21" s="327"/>
      <c r="D21" s="327"/>
      <c r="E21" s="327"/>
      <c r="F21" s="327"/>
    </row>
    <row r="22" spans="1:6">
      <c r="A22" s="1258" t="s">
        <v>12</v>
      </c>
      <c r="B22" s="1259">
        <v>4034</v>
      </c>
      <c r="C22" s="327"/>
      <c r="D22" s="327"/>
      <c r="E22" s="327"/>
      <c r="F22" s="327"/>
    </row>
    <row r="23" spans="1:6">
      <c r="A23" s="1258" t="s">
        <v>13</v>
      </c>
      <c r="B23" s="1259">
        <v>23</v>
      </c>
      <c r="C23" s="327"/>
      <c r="D23" s="327"/>
      <c r="E23" s="327"/>
      <c r="F23" s="327"/>
    </row>
    <row r="24" spans="1:6">
      <c r="A24" s="1258" t="s">
        <v>14</v>
      </c>
      <c r="B24" s="1259">
        <v>19</v>
      </c>
      <c r="C24" s="327"/>
      <c r="D24" s="327"/>
      <c r="E24" s="327"/>
      <c r="F24" s="327"/>
    </row>
    <row r="25" spans="1:6">
      <c r="A25" s="1258" t="s">
        <v>15</v>
      </c>
      <c r="B25" s="1259">
        <v>401</v>
      </c>
      <c r="C25" s="327"/>
      <c r="D25" s="327"/>
      <c r="E25" s="327"/>
      <c r="F25" s="327"/>
    </row>
    <row r="26" spans="1:6">
      <c r="A26" s="1258" t="s">
        <v>16</v>
      </c>
      <c r="B26" s="1259">
        <v>819</v>
      </c>
      <c r="C26" s="327"/>
      <c r="D26" s="327"/>
      <c r="E26" s="327"/>
      <c r="F26" s="327"/>
    </row>
    <row r="27" spans="1:6">
      <c r="A27" s="1258" t="s">
        <v>17</v>
      </c>
      <c r="B27" s="1259">
        <v>269</v>
      </c>
      <c r="C27" s="327"/>
      <c r="D27" s="327"/>
      <c r="E27" s="327"/>
      <c r="F27" s="327"/>
    </row>
    <row r="28" spans="1:6">
      <c r="A28" s="1258" t="s">
        <v>18</v>
      </c>
      <c r="B28" s="1260">
        <v>47629</v>
      </c>
      <c r="C28" s="327"/>
      <c r="D28" s="327"/>
      <c r="E28" s="327"/>
      <c r="F28" s="327"/>
    </row>
    <row r="29" spans="1:6">
      <c r="A29" s="1258" t="s">
        <v>939</v>
      </c>
      <c r="B29" s="1260">
        <v>459</v>
      </c>
      <c r="C29" s="327"/>
      <c r="D29" s="327"/>
      <c r="E29" s="327"/>
      <c r="F29" s="327"/>
    </row>
    <row r="30" spans="1:6">
      <c r="A30" s="1253" t="s">
        <v>940</v>
      </c>
      <c r="B30" s="1261">
        <v>99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66</v>
      </c>
      <c r="D36" s="1259">
        <v>15767574</v>
      </c>
      <c r="E36" s="1259">
        <v>53</v>
      </c>
      <c r="F36" s="1259">
        <v>3514476</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562578</v>
      </c>
    </row>
    <row r="39" spans="1:6">
      <c r="A39" s="1258" t="s">
        <v>29</v>
      </c>
      <c r="B39" s="1258" t="s">
        <v>30</v>
      </c>
      <c r="C39" s="1259">
        <v>21699</v>
      </c>
      <c r="D39" s="1259">
        <v>331307329</v>
      </c>
      <c r="E39" s="1259">
        <v>34448</v>
      </c>
      <c r="F39" s="1259">
        <v>125872522</v>
      </c>
    </row>
    <row r="40" spans="1:6">
      <c r="A40" s="1258" t="s">
        <v>29</v>
      </c>
      <c r="B40" s="1258" t="s">
        <v>28</v>
      </c>
      <c r="C40" s="1259">
        <v>0</v>
      </c>
      <c r="D40" s="1259">
        <v>0</v>
      </c>
      <c r="E40" s="1259">
        <v>0</v>
      </c>
      <c r="F40" s="1259">
        <v>0</v>
      </c>
    </row>
    <row r="41" spans="1:6">
      <c r="A41" s="1258" t="s">
        <v>31</v>
      </c>
      <c r="B41" s="1258" t="s">
        <v>32</v>
      </c>
      <c r="C41" s="1259">
        <v>266</v>
      </c>
      <c r="D41" s="1259">
        <v>18803026</v>
      </c>
      <c r="E41" s="1259">
        <v>594</v>
      </c>
      <c r="F41" s="1259">
        <v>34579629</v>
      </c>
    </row>
    <row r="42" spans="1:6">
      <c r="A42" s="1258" t="s">
        <v>31</v>
      </c>
      <c r="B42" s="1258" t="s">
        <v>33</v>
      </c>
      <c r="C42" s="1259">
        <v>6</v>
      </c>
      <c r="D42" s="1259">
        <v>1120378</v>
      </c>
      <c r="E42" s="1259">
        <v>7</v>
      </c>
      <c r="F42" s="1259">
        <v>357009</v>
      </c>
    </row>
    <row r="43" spans="1:6">
      <c r="A43" s="1258" t="s">
        <v>31</v>
      </c>
      <c r="B43" s="1258" t="s">
        <v>34</v>
      </c>
      <c r="C43" s="1259">
        <v>0</v>
      </c>
      <c r="D43" s="1259">
        <v>0</v>
      </c>
      <c r="E43" s="1259">
        <v>0</v>
      </c>
      <c r="F43" s="1259">
        <v>0</v>
      </c>
    </row>
    <row r="44" spans="1:6">
      <c r="A44" s="1258" t="s">
        <v>31</v>
      </c>
      <c r="B44" s="1258" t="s">
        <v>35</v>
      </c>
      <c r="C44" s="1259">
        <v>24</v>
      </c>
      <c r="D44" s="1259">
        <v>4941248</v>
      </c>
      <c r="E44" s="1259">
        <v>82</v>
      </c>
      <c r="F44" s="1259">
        <v>4176545</v>
      </c>
    </row>
    <row r="45" spans="1:6">
      <c r="A45" s="1258" t="s">
        <v>31</v>
      </c>
      <c r="B45" s="1258" t="s">
        <v>36</v>
      </c>
      <c r="C45" s="1259">
        <v>9</v>
      </c>
      <c r="D45" s="1259">
        <v>64656712</v>
      </c>
      <c r="E45" s="1259">
        <v>20</v>
      </c>
      <c r="F45" s="1259">
        <v>13288497</v>
      </c>
    </row>
    <row r="46" spans="1:6">
      <c r="A46" s="1258" t="s">
        <v>31</v>
      </c>
      <c r="B46" s="1258" t="s">
        <v>37</v>
      </c>
      <c r="C46" s="1259">
        <v>0</v>
      </c>
      <c r="D46" s="1259">
        <v>0</v>
      </c>
      <c r="E46" s="1259">
        <v>0</v>
      </c>
      <c r="F46" s="1259">
        <v>0</v>
      </c>
    </row>
    <row r="47" spans="1:6">
      <c r="A47" s="1258" t="s">
        <v>31</v>
      </c>
      <c r="B47" s="1258" t="s">
        <v>38</v>
      </c>
      <c r="C47" s="1259">
        <v>12</v>
      </c>
      <c r="D47" s="1259">
        <v>3868208</v>
      </c>
      <c r="E47" s="1259">
        <v>21</v>
      </c>
      <c r="F47" s="1259">
        <v>4132924</v>
      </c>
    </row>
    <row r="48" spans="1:6">
      <c r="A48" s="1258" t="s">
        <v>31</v>
      </c>
      <c r="B48" s="1258" t="s">
        <v>28</v>
      </c>
      <c r="C48" s="1259">
        <v>1</v>
      </c>
      <c r="D48" s="1259">
        <v>26126</v>
      </c>
      <c r="E48" s="1259">
        <v>2</v>
      </c>
      <c r="F48" s="1259">
        <v>68615</v>
      </c>
    </row>
    <row r="49" spans="1:6">
      <c r="A49" s="1258" t="s">
        <v>31</v>
      </c>
      <c r="B49" s="1258" t="s">
        <v>39</v>
      </c>
      <c r="C49" s="1259">
        <v>12</v>
      </c>
      <c r="D49" s="1259">
        <v>289835</v>
      </c>
      <c r="E49" s="1259">
        <v>21</v>
      </c>
      <c r="F49" s="1259">
        <v>451175</v>
      </c>
    </row>
    <row r="50" spans="1:6">
      <c r="A50" s="1258" t="s">
        <v>31</v>
      </c>
      <c r="B50" s="1258" t="s">
        <v>40</v>
      </c>
      <c r="C50" s="1259">
        <v>41</v>
      </c>
      <c r="D50" s="1259">
        <v>12407794</v>
      </c>
      <c r="E50" s="1259">
        <v>103</v>
      </c>
      <c r="F50" s="1259">
        <v>12149157</v>
      </c>
    </row>
    <row r="51" spans="1:6">
      <c r="A51" s="1258" t="s">
        <v>41</v>
      </c>
      <c r="B51" s="1258" t="s">
        <v>42</v>
      </c>
      <c r="C51" s="1259">
        <v>27</v>
      </c>
      <c r="D51" s="1259">
        <v>2569172</v>
      </c>
      <c r="E51" s="1259">
        <v>121</v>
      </c>
      <c r="F51" s="1259">
        <v>3383685</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358</v>
      </c>
      <c r="F54" s="1259">
        <v>4953417</v>
      </c>
    </row>
    <row r="55" spans="1:6">
      <c r="A55" s="1258" t="s">
        <v>45</v>
      </c>
      <c r="B55" s="1258" t="s">
        <v>28</v>
      </c>
      <c r="C55" s="1259">
        <v>0</v>
      </c>
      <c r="D55" s="1259">
        <v>0</v>
      </c>
      <c r="E55" s="1259">
        <v>0</v>
      </c>
      <c r="F55" s="1259">
        <v>0</v>
      </c>
    </row>
    <row r="56" spans="1:6">
      <c r="A56" s="1258" t="s">
        <v>47</v>
      </c>
      <c r="B56" s="1258" t="s">
        <v>28</v>
      </c>
      <c r="C56" s="1259">
        <v>415</v>
      </c>
      <c r="D56" s="1259">
        <v>27761110</v>
      </c>
      <c r="E56" s="1259">
        <v>882</v>
      </c>
      <c r="F56" s="1259">
        <v>5435084</v>
      </c>
    </row>
    <row r="57" spans="1:6">
      <c r="A57" s="1258" t="s">
        <v>48</v>
      </c>
      <c r="B57" s="1258" t="s">
        <v>49</v>
      </c>
      <c r="C57" s="1259">
        <v>253</v>
      </c>
      <c r="D57" s="1259">
        <v>20019617</v>
      </c>
      <c r="E57" s="1259">
        <v>536</v>
      </c>
      <c r="F57" s="1259">
        <v>16016562</v>
      </c>
    </row>
    <row r="58" spans="1:6">
      <c r="A58" s="1258" t="s">
        <v>48</v>
      </c>
      <c r="B58" s="1258" t="s">
        <v>50</v>
      </c>
      <c r="C58" s="1259">
        <v>192</v>
      </c>
      <c r="D58" s="1259">
        <v>32313025</v>
      </c>
      <c r="E58" s="1259">
        <v>317</v>
      </c>
      <c r="F58" s="1259">
        <v>18615224</v>
      </c>
    </row>
    <row r="59" spans="1:6">
      <c r="A59" s="1258" t="s">
        <v>48</v>
      </c>
      <c r="B59" s="1258" t="s">
        <v>51</v>
      </c>
      <c r="C59" s="1259">
        <v>674</v>
      </c>
      <c r="D59" s="1259">
        <v>36489852</v>
      </c>
      <c r="E59" s="1259">
        <v>1348</v>
      </c>
      <c r="F59" s="1259">
        <v>62778497</v>
      </c>
    </row>
    <row r="60" spans="1:6">
      <c r="A60" s="1258" t="s">
        <v>48</v>
      </c>
      <c r="B60" s="1258" t="s">
        <v>52</v>
      </c>
      <c r="C60" s="1259">
        <v>290</v>
      </c>
      <c r="D60" s="1259">
        <v>19800920</v>
      </c>
      <c r="E60" s="1259">
        <v>426</v>
      </c>
      <c r="F60" s="1259">
        <v>18603760</v>
      </c>
    </row>
    <row r="61" spans="1:6">
      <c r="A61" s="1258" t="s">
        <v>48</v>
      </c>
      <c r="B61" s="1258" t="s">
        <v>53</v>
      </c>
      <c r="C61" s="1259">
        <v>924</v>
      </c>
      <c r="D61" s="1259">
        <v>83535969</v>
      </c>
      <c r="E61" s="1259">
        <v>2332</v>
      </c>
      <c r="F61" s="1259">
        <v>71433758</v>
      </c>
    </row>
    <row r="62" spans="1:6">
      <c r="A62" s="1258" t="s">
        <v>48</v>
      </c>
      <c r="B62" s="1258" t="s">
        <v>54</v>
      </c>
      <c r="C62" s="1259">
        <v>62</v>
      </c>
      <c r="D62" s="1259">
        <v>22758965</v>
      </c>
      <c r="E62" s="1259">
        <v>92</v>
      </c>
      <c r="F62" s="1259">
        <v>9139233</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2418559</v>
      </c>
      <c r="E65" s="1259">
        <v>2</v>
      </c>
      <c r="F65" s="1259">
        <v>921</v>
      </c>
    </row>
    <row r="66" spans="1:6">
      <c r="A66" s="1258" t="s">
        <v>55</v>
      </c>
      <c r="B66" s="1258" t="s">
        <v>57</v>
      </c>
      <c r="C66" s="1259">
        <v>0</v>
      </c>
      <c r="D66" s="1259">
        <v>0</v>
      </c>
      <c r="E66" s="1259">
        <v>5</v>
      </c>
      <c r="F66" s="1259">
        <v>43305</v>
      </c>
    </row>
    <row r="67" spans="1:6">
      <c r="A67" s="1258" t="s">
        <v>55</v>
      </c>
      <c r="B67" s="1258" t="s">
        <v>58</v>
      </c>
      <c r="C67" s="1259">
        <v>0</v>
      </c>
      <c r="D67" s="1259">
        <v>0</v>
      </c>
      <c r="E67" s="1259">
        <v>0</v>
      </c>
      <c r="F67" s="1259">
        <v>0</v>
      </c>
    </row>
    <row r="68" spans="1:6">
      <c r="A68" s="1253" t="s">
        <v>55</v>
      </c>
      <c r="B68" s="1253" t="s">
        <v>59</v>
      </c>
      <c r="C68" s="1261">
        <v>24</v>
      </c>
      <c r="D68" s="1261">
        <v>2391546</v>
      </c>
      <c r="E68" s="1261">
        <v>40</v>
      </c>
      <c r="F68" s="1261">
        <v>1106120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718</v>
      </c>
      <c r="D72" s="1270"/>
      <c r="E72" s="1270"/>
      <c r="F72" s="1257"/>
    </row>
    <row r="73" spans="1:6">
      <c r="A73" s="1258" t="s">
        <v>63</v>
      </c>
      <c r="B73" s="1258" t="s">
        <v>725</v>
      </c>
      <c r="C73" s="1271" t="s">
        <v>719</v>
      </c>
      <c r="D73" s="1259">
        <v>344376010</v>
      </c>
      <c r="E73" s="445"/>
      <c r="F73" s="327"/>
    </row>
    <row r="74" spans="1:6">
      <c r="A74" s="1258" t="s">
        <v>63</v>
      </c>
      <c r="B74" s="1258" t="s">
        <v>726</v>
      </c>
      <c r="C74" s="1271" t="s">
        <v>720</v>
      </c>
      <c r="D74" s="1259">
        <v>23643953.506165449</v>
      </c>
      <c r="E74" s="445"/>
      <c r="F74" s="327"/>
    </row>
    <row r="75" spans="1:6">
      <c r="A75" s="1258" t="s">
        <v>64</v>
      </c>
      <c r="B75" s="1258" t="s">
        <v>725</v>
      </c>
      <c r="C75" s="1271" t="s">
        <v>721</v>
      </c>
      <c r="D75" s="1259">
        <v>93950179</v>
      </c>
      <c r="E75" s="445"/>
      <c r="F75" s="327"/>
    </row>
    <row r="76" spans="1:6">
      <c r="A76" s="1258" t="s">
        <v>64</v>
      </c>
      <c r="B76" s="1258" t="s">
        <v>726</v>
      </c>
      <c r="C76" s="1271" t="s">
        <v>722</v>
      </c>
      <c r="D76" s="1259">
        <v>238343.90000000002</v>
      </c>
      <c r="E76" s="445"/>
      <c r="F76" s="327"/>
    </row>
    <row r="77" spans="1:6">
      <c r="A77" s="1258" t="s">
        <v>65</v>
      </c>
      <c r="B77" s="1258" t="s">
        <v>725</v>
      </c>
      <c r="C77" s="1271" t="s">
        <v>723</v>
      </c>
      <c r="D77" s="1259">
        <v>208571607</v>
      </c>
      <c r="E77" s="445"/>
      <c r="F77" s="327"/>
    </row>
    <row r="78" spans="1:6">
      <c r="A78" s="1253" t="s">
        <v>65</v>
      </c>
      <c r="B78" s="1253" t="s">
        <v>726</v>
      </c>
      <c r="C78" s="1253" t="s">
        <v>724</v>
      </c>
      <c r="D78" s="1261">
        <v>23693104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5033968.9876691019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549</v>
      </c>
      <c r="B89" s="1259">
        <v>0</v>
      </c>
      <c r="C89" s="327"/>
      <c r="D89" s="327"/>
      <c r="E89" s="327"/>
      <c r="F89" s="327"/>
    </row>
    <row r="90" spans="1:6">
      <c r="A90" s="1258" t="s">
        <v>550</v>
      </c>
      <c r="B90" s="1259">
        <v>14237.021407305889</v>
      </c>
      <c r="C90" s="327"/>
      <c r="D90" s="327"/>
      <c r="E90" s="327"/>
      <c r="F90" s="327"/>
    </row>
    <row r="91" spans="1:6">
      <c r="A91" s="1258" t="s">
        <v>67</v>
      </c>
      <c r="B91" s="1259">
        <v>11287.01037751211</v>
      </c>
      <c r="C91" s="327"/>
      <c r="D91" s="327"/>
      <c r="E91" s="327"/>
      <c r="F91" s="327"/>
    </row>
    <row r="92" spans="1:6">
      <c r="A92" s="1253" t="s">
        <v>68</v>
      </c>
      <c r="B92" s="1254">
        <v>8411.912192028456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12607</v>
      </c>
      <c r="C97" s="327"/>
      <c r="D97" s="327"/>
      <c r="E97" s="327"/>
      <c r="F97" s="327"/>
    </row>
    <row r="98" spans="1:6">
      <c r="A98" s="1258" t="s">
        <v>71</v>
      </c>
      <c r="B98" s="1259">
        <v>2</v>
      </c>
      <c r="C98" s="327"/>
      <c r="D98" s="327"/>
      <c r="E98" s="327"/>
      <c r="F98" s="327"/>
    </row>
    <row r="99" spans="1:6">
      <c r="A99" s="1258" t="s">
        <v>72</v>
      </c>
      <c r="B99" s="1259">
        <v>137</v>
      </c>
      <c r="C99" s="327"/>
      <c r="D99" s="327"/>
      <c r="E99" s="327"/>
      <c r="F99" s="327"/>
    </row>
    <row r="100" spans="1:6">
      <c r="A100" s="1258" t="s">
        <v>73</v>
      </c>
      <c r="B100" s="1259">
        <v>1808</v>
      </c>
      <c r="C100" s="327"/>
      <c r="D100" s="327"/>
      <c r="E100" s="327"/>
      <c r="F100" s="327"/>
    </row>
    <row r="101" spans="1:6">
      <c r="A101" s="1258" t="s">
        <v>74</v>
      </c>
      <c r="B101" s="1259">
        <v>132</v>
      </c>
      <c r="C101" s="327"/>
      <c r="D101" s="327"/>
      <c r="E101" s="327"/>
      <c r="F101" s="327"/>
    </row>
    <row r="102" spans="1:6">
      <c r="A102" s="1258" t="s">
        <v>75</v>
      </c>
      <c r="B102" s="1259">
        <v>416</v>
      </c>
      <c r="C102" s="327"/>
      <c r="D102" s="327"/>
      <c r="E102" s="327"/>
      <c r="F102" s="327"/>
    </row>
    <row r="103" spans="1:6">
      <c r="A103" s="1258" t="s">
        <v>76</v>
      </c>
      <c r="B103" s="1259">
        <v>298</v>
      </c>
      <c r="C103" s="327"/>
      <c r="D103" s="327"/>
      <c r="E103" s="327"/>
      <c r="F103" s="327"/>
    </row>
    <row r="104" spans="1:6">
      <c r="A104" s="1258" t="s">
        <v>77</v>
      </c>
      <c r="B104" s="1259">
        <v>12509</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663</v>
      </c>
      <c r="B108" s="328"/>
      <c r="C108" s="328"/>
      <c r="D108" s="328"/>
      <c r="E108" s="328"/>
      <c r="F108" s="332"/>
    </row>
    <row r="109" spans="1:6" ht="16.5" thickTop="1" thickBot="1">
      <c r="A109" s="1255" t="s">
        <v>4</v>
      </c>
      <c r="B109" s="1256" t="s">
        <v>5</v>
      </c>
      <c r="C109" s="1256"/>
      <c r="D109" s="1256"/>
      <c r="E109" s="1256"/>
      <c r="F109" s="1257"/>
    </row>
    <row r="110" spans="1:6">
      <c r="A110" s="1258" t="s">
        <v>664</v>
      </c>
      <c r="B110" s="1259">
        <v>0</v>
      </c>
      <c r="C110" s="327"/>
      <c r="D110" s="327"/>
      <c r="E110" s="327"/>
      <c r="F110" s="327"/>
    </row>
    <row r="111" spans="1:6">
      <c r="A111" s="1276" t="s">
        <v>665</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35</v>
      </c>
      <c r="C123" s="1259">
        <v>37</v>
      </c>
      <c r="D123" s="327"/>
      <c r="E123" s="327"/>
      <c r="F123" s="327"/>
    </row>
    <row r="124" spans="1:6">
      <c r="A124" s="1258" t="s">
        <v>88</v>
      </c>
      <c r="B124" s="1259">
        <v>3</v>
      </c>
      <c r="C124" s="1259">
        <v>0</v>
      </c>
      <c r="D124" s="327"/>
      <c r="E124" s="327"/>
      <c r="F124" s="327"/>
    </row>
    <row r="125" spans="1:6">
      <c r="A125" s="1253" t="s">
        <v>889</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196</v>
      </c>
      <c r="C129" s="327"/>
      <c r="D129" s="327"/>
      <c r="E129" s="327"/>
      <c r="F129" s="327"/>
    </row>
    <row r="130" spans="1:6">
      <c r="A130" s="1258" t="s">
        <v>284</v>
      </c>
      <c r="B130" s="1259">
        <v>2</v>
      </c>
      <c r="C130" s="327"/>
      <c r="D130" s="327"/>
      <c r="E130" s="327"/>
      <c r="F130" s="327"/>
    </row>
    <row r="131" spans="1:6">
      <c r="A131" s="1258" t="s">
        <v>285</v>
      </c>
      <c r="B131" s="1259">
        <v>8</v>
      </c>
      <c r="C131" s="327"/>
      <c r="D131" s="327"/>
      <c r="E131" s="327"/>
      <c r="F131" s="327"/>
    </row>
    <row r="132" spans="1:6">
      <c r="A132" s="1253" t="s">
        <v>286</v>
      </c>
      <c r="B132" s="1254">
        <v>34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892</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892</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706</v>
      </c>
      <c r="B44" s="504"/>
      <c r="D44" s="632"/>
    </row>
    <row r="45" spans="1:14">
      <c r="A45" s="45"/>
      <c r="B45" s="504"/>
      <c r="D45" s="632"/>
    </row>
    <row r="46" spans="1:14" ht="18">
      <c r="A46" s="138" t="s">
        <v>183</v>
      </c>
      <c r="B46" s="505" t="s">
        <v>576</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605</v>
      </c>
      <c r="B1" s="518"/>
      <c r="C1" s="519"/>
    </row>
    <row r="2" spans="1:3" s="327" customFormat="1">
      <c r="A2" s="364"/>
      <c r="B2" s="484"/>
      <c r="C2" s="521"/>
    </row>
    <row r="3" spans="1:3" s="327" customFormat="1">
      <c r="A3" s="362"/>
      <c r="B3" s="522">
        <v>2012</v>
      </c>
      <c r="C3" s="365" t="s">
        <v>175</v>
      </c>
    </row>
    <row r="4" spans="1:3">
      <c r="A4" s="121" t="s">
        <v>290</v>
      </c>
      <c r="B4" s="523">
        <v>3704.1355821353</v>
      </c>
      <c r="C4" s="140" t="s">
        <v>705</v>
      </c>
    </row>
    <row r="5" spans="1:3" ht="15.75" thickBot="1">
      <c r="A5" s="116" t="s">
        <v>604</v>
      </c>
      <c r="B5" s="524">
        <v>671603</v>
      </c>
      <c r="C5" s="141" t="s">
        <v>602</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420303.73872059886</v>
      </c>
      <c r="C3" s="44" t="s">
        <v>163</v>
      </c>
      <c r="D3" s="44"/>
      <c r="E3" s="157"/>
      <c r="F3" s="44"/>
      <c r="G3" s="44"/>
      <c r="H3" s="44"/>
      <c r="I3" s="44"/>
      <c r="J3" s="44"/>
      <c r="K3" s="97"/>
    </row>
    <row r="4" spans="1:11">
      <c r="A4" s="352" t="s">
        <v>164</v>
      </c>
      <c r="B4" s="50">
        <f>IF(ISERROR('SEAP template'!B78+'SEAP template'!C78),0,'SEAP template'!B78+'SEAP template'!C78)</f>
        <v>37399.593976846452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777</v>
      </c>
      <c r="G6" s="44" t="s">
        <v>783</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529.03800000000012</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0.2025936153876903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755.76857142857159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3180.2142857142858</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639</v>
      </c>
      <c r="C6" s="410" t="s">
        <v>345</v>
      </c>
    </row>
    <row r="7" spans="1:3" s="327" customFormat="1">
      <c r="A7" s="411" t="s">
        <v>640</v>
      </c>
      <c r="B7" s="412" t="s">
        <v>585</v>
      </c>
      <c r="C7" s="413" t="s">
        <v>584</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718</v>
      </c>
      <c r="B1" s="841" t="s">
        <v>297</v>
      </c>
      <c r="C1" s="841" t="s">
        <v>301</v>
      </c>
      <c r="D1" s="841" t="s">
        <v>302</v>
      </c>
      <c r="E1" s="841" t="s">
        <v>303</v>
      </c>
      <c r="F1" s="841" t="s">
        <v>304</v>
      </c>
      <c r="H1" s="1012" t="s">
        <v>935</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725</v>
      </c>
      <c r="C3" s="1011" t="s">
        <v>64</v>
      </c>
      <c r="D3" s="1011" t="s">
        <v>894</v>
      </c>
      <c r="E3" s="1011" t="s">
        <v>895</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725</v>
      </c>
      <c r="C4" s="1011" t="s">
        <v>63</v>
      </c>
      <c r="D4" s="1011" t="s">
        <v>894</v>
      </c>
      <c r="E4" s="1011" t="s">
        <v>895</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725</v>
      </c>
      <c r="C5" s="1011" t="s">
        <v>65</v>
      </c>
      <c r="D5" s="1011" t="s">
        <v>894</v>
      </c>
      <c r="E5" s="1011" t="s">
        <v>895</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725</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725</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725</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726</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726</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726</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728</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728</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728</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725</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725</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725</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725</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725</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725</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725</v>
      </c>
      <c r="C21" s="1011" t="s">
        <v>64</v>
      </c>
      <c r="D21" s="1011" t="s">
        <v>896</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725</v>
      </c>
      <c r="C22" s="1011" t="s">
        <v>64</v>
      </c>
      <c r="D22" s="1011" t="s">
        <v>896</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725</v>
      </c>
      <c r="C23" s="1011" t="s">
        <v>63</v>
      </c>
      <c r="D23" s="1011" t="s">
        <v>896</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725</v>
      </c>
      <c r="C24" s="1011" t="s">
        <v>63</v>
      </c>
      <c r="D24" s="1011" t="s">
        <v>896</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725</v>
      </c>
      <c r="C25" s="1011" t="s">
        <v>65</v>
      </c>
      <c r="D25" s="1011" t="s">
        <v>896</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725</v>
      </c>
      <c r="C26" s="1011" t="s">
        <v>65</v>
      </c>
      <c r="D26" s="1011" t="s">
        <v>896</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725</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725</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725</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725</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725</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725</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725</v>
      </c>
      <c r="C33" s="1011" t="s">
        <v>64</v>
      </c>
      <c r="D33" s="1011" t="s">
        <v>897</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725</v>
      </c>
      <c r="C34" s="1011" t="s">
        <v>63</v>
      </c>
      <c r="D34" s="1011" t="s">
        <v>897</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725</v>
      </c>
      <c r="C35" s="1011" t="s">
        <v>65</v>
      </c>
      <c r="D35" s="1011" t="s">
        <v>897</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725</v>
      </c>
      <c r="C36" s="1011" t="s">
        <v>64</v>
      </c>
      <c r="D36" s="1011" t="s">
        <v>898</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725</v>
      </c>
      <c r="C37" s="1011" t="s">
        <v>64</v>
      </c>
      <c r="D37" s="1011" t="s">
        <v>898</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725</v>
      </c>
      <c r="C38" s="1011" t="s">
        <v>63</v>
      </c>
      <c r="D38" s="1011" t="s">
        <v>898</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725</v>
      </c>
      <c r="C39" s="1011" t="s">
        <v>63</v>
      </c>
      <c r="D39" s="1011" t="s">
        <v>898</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725</v>
      </c>
      <c r="C40" s="1011" t="s">
        <v>65</v>
      </c>
      <c r="D40" s="1011" t="s">
        <v>898</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725</v>
      </c>
      <c r="C41" s="1011" t="s">
        <v>65</v>
      </c>
      <c r="D41" s="1011" t="s">
        <v>898</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726</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726</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726</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726</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726</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726</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728</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728</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728</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728</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728</v>
      </c>
      <c r="C52" s="1011" t="s">
        <v>64</v>
      </c>
      <c r="D52" s="1011" t="s">
        <v>896</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728</v>
      </c>
      <c r="C53" s="1011" t="s">
        <v>64</v>
      </c>
      <c r="D53" s="1011" t="s">
        <v>896</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728</v>
      </c>
      <c r="C54" s="1011" t="s">
        <v>63</v>
      </c>
      <c r="D54" s="1011" t="s">
        <v>896</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728</v>
      </c>
      <c r="C55" s="1011" t="s">
        <v>63</v>
      </c>
      <c r="D55" s="1011" t="s">
        <v>896</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925</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4953.4170000000004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4953.4170000000004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0.2025936153876903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1003.5306585528468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125872.522</v>
      </c>
      <c r="C5" s="18">
        <f>IF(ISERROR('Eigen informatie GS &amp; warmtenet'!B57),0,'Eigen informatie GS &amp; warmtenet'!B57)</f>
        <v>0</v>
      </c>
      <c r="D5" s="31">
        <f>(SUM(HH_hh_gas_kWh,HH_rest_gas_kWh)/1000)*0.902</f>
        <v>298839.21075800003</v>
      </c>
      <c r="E5" s="18">
        <f>B32*B41</f>
        <v>6792.2380447565256</v>
      </c>
      <c r="F5" s="18">
        <f>B36*B45</f>
        <v>207075.61810801981</v>
      </c>
      <c r="G5" s="19"/>
      <c r="H5" s="18"/>
      <c r="I5" s="18"/>
      <c r="J5" s="18">
        <f>B35*B44+C35*C44</f>
        <v>3757.3149359335757</v>
      </c>
      <c r="K5" s="18"/>
      <c r="L5" s="18"/>
      <c r="M5" s="18"/>
      <c r="N5" s="18">
        <f>B34*B43+C34*C43</f>
        <v>48162.016787240434</v>
      </c>
      <c r="O5" s="18">
        <f>B52*B53*B54</f>
        <v>364.25666666666666</v>
      </c>
      <c r="P5" s="18">
        <f>B60*B61*B62/1000-B60*B61*B62/1000/B63</f>
        <v>1372.8</v>
      </c>
    </row>
    <row r="6" spans="1:16">
      <c r="A6" s="17" t="s">
        <v>599</v>
      </c>
      <c r="B6" s="731">
        <f>kWh_PV_kleiner_dan_10kW</f>
        <v>11287.01037751211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137159.53237751211</v>
      </c>
      <c r="C8" s="22">
        <f>C5</f>
        <v>0</v>
      </c>
      <c r="D8" s="22">
        <f>D5</f>
        <v>298839.21075800003</v>
      </c>
      <c r="E8" s="22">
        <f>E5</f>
        <v>6792.2380447565256</v>
      </c>
      <c r="F8" s="22">
        <f>F5</f>
        <v>207075.61810801981</v>
      </c>
      <c r="G8" s="22"/>
      <c r="H8" s="22"/>
      <c r="I8" s="22"/>
      <c r="J8" s="22">
        <f>J5</f>
        <v>3757.3149359335757</v>
      </c>
      <c r="K8" s="22"/>
      <c r="L8" s="22">
        <f>L5</f>
        <v>0</v>
      </c>
      <c r="M8" s="22">
        <f>M5</f>
        <v>0</v>
      </c>
      <c r="N8" s="22">
        <f>N5</f>
        <v>48162.016787240434</v>
      </c>
      <c r="O8" s="22">
        <f>O5</f>
        <v>364.25666666666666</v>
      </c>
      <c r="P8" s="22">
        <f>P5</f>
        <v>1372.8</v>
      </c>
    </row>
    <row r="9" spans="1:16">
      <c r="B9" s="20"/>
      <c r="C9" s="20"/>
      <c r="D9" s="258"/>
      <c r="E9" s="20"/>
      <c r="F9" s="20"/>
      <c r="G9" s="20"/>
      <c r="H9" s="20"/>
      <c r="I9" s="20"/>
      <c r="J9" s="20"/>
      <c r="K9" s="20"/>
      <c r="L9" s="20"/>
      <c r="M9" s="20"/>
      <c r="N9" s="20"/>
      <c r="O9" s="20"/>
      <c r="P9" s="20"/>
    </row>
    <row r="10" spans="1:16">
      <c r="A10" s="25" t="s">
        <v>207</v>
      </c>
      <c r="B10" s="26">
        <f ca="1">'EF ele_warmte'!B12</f>
        <v>0.2025936153876903</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27787.645549245142</v>
      </c>
      <c r="C12" s="24">
        <f ca="1">C10*C8</f>
        <v>0</v>
      </c>
      <c r="D12" s="24">
        <f>D8*D10</f>
        <v>60365.520573116009</v>
      </c>
      <c r="E12" s="24">
        <f>E10*E8</f>
        <v>1541.8380361597315</v>
      </c>
      <c r="F12" s="24">
        <f>F10*F8</f>
        <v>55289.190034841296</v>
      </c>
      <c r="G12" s="24"/>
      <c r="H12" s="24"/>
      <c r="I12" s="24"/>
      <c r="J12" s="24">
        <f>J10*J8</f>
        <v>1330.0894873204857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919</v>
      </c>
      <c r="B17" s="202" t="s">
        <v>911</v>
      </c>
      <c r="C17" s="202" t="s">
        <v>912</v>
      </c>
      <c r="D17" s="227" t="s">
        <v>175</v>
      </c>
      <c r="E17" s="16"/>
    </row>
    <row r="18" spans="1:5">
      <c r="A18" s="244" t="s">
        <v>77</v>
      </c>
      <c r="B18" s="1024">
        <v>0.75245242648391797</v>
      </c>
      <c r="C18" s="1024"/>
      <c r="D18" s="296" t="s">
        <v>913</v>
      </c>
      <c r="E18" s="16"/>
    </row>
    <row r="19" spans="1:5">
      <c r="A19" s="244" t="s">
        <v>914</v>
      </c>
      <c r="B19" s="1024">
        <v>1.5597244267105643E-2</v>
      </c>
      <c r="C19" s="1024"/>
      <c r="D19" s="229"/>
      <c r="E19" s="16"/>
    </row>
    <row r="20" spans="1:5">
      <c r="A20" s="244" t="s">
        <v>915</v>
      </c>
      <c r="B20" s="1024"/>
      <c r="C20" s="1024"/>
      <c r="D20" s="229"/>
      <c r="E20" s="16"/>
    </row>
    <row r="21" spans="1:5">
      <c r="A21" s="244" t="s">
        <v>916</v>
      </c>
      <c r="B21" s="1024">
        <v>2.4575330568368751E-2</v>
      </c>
      <c r="C21" s="1024"/>
      <c r="D21" s="229"/>
      <c r="E21" s="16"/>
    </row>
    <row r="22" spans="1:5">
      <c r="A22" s="244" t="s">
        <v>917</v>
      </c>
      <c r="B22" s="1024">
        <v>0.16542079764368955</v>
      </c>
      <c r="C22" s="1024"/>
      <c r="D22" s="229"/>
      <c r="E22" s="16"/>
    </row>
    <row r="23" spans="1:5">
      <c r="A23" s="244" t="s">
        <v>78</v>
      </c>
      <c r="B23" s="1024"/>
      <c r="C23" s="1024"/>
      <c r="D23" s="228"/>
      <c r="E23" s="53"/>
    </row>
    <row r="24" spans="1:5">
      <c r="A24" s="244" t="s">
        <v>918</v>
      </c>
      <c r="B24" s="1024">
        <v>4.1954201036917819E-2</v>
      </c>
      <c r="C24" s="1024">
        <v>0.20450232766907225</v>
      </c>
      <c r="D24" s="228"/>
      <c r="E24" s="16"/>
    </row>
    <row r="25" spans="1:5" s="16" customFormat="1">
      <c r="A25" s="171"/>
      <c r="B25" s="30"/>
      <c r="C25" s="37"/>
      <c r="D25" s="228"/>
    </row>
    <row r="26" spans="1:5" s="16" customFormat="1">
      <c r="A26" s="230" t="s">
        <v>624</v>
      </c>
      <c r="B26" s="38">
        <f>aantalHuishoudens</f>
        <v>33745</v>
      </c>
      <c r="C26" s="37"/>
      <c r="D26" s="228"/>
    </row>
    <row r="27" spans="1:5" s="16" customFormat="1">
      <c r="A27" s="230" t="s">
        <v>625</v>
      </c>
      <c r="B27" s="38">
        <f>SUM(HH_hh_gas_aantal,HH_rest_gas_aantal)</f>
        <v>21699</v>
      </c>
      <c r="C27" s="37"/>
      <c r="D27" s="228"/>
    </row>
    <row r="28" spans="1:5" s="16" customFormat="1">
      <c r="A28" s="231"/>
      <c r="B28" s="30"/>
      <c r="C28" s="37"/>
      <c r="D28" s="232"/>
    </row>
    <row r="29" spans="1:5">
      <c r="A29" s="3"/>
      <c r="B29" s="44"/>
      <c r="C29" s="44"/>
      <c r="D29" s="174"/>
    </row>
    <row r="30" spans="1:5">
      <c r="A30" s="172" t="s">
        <v>479</v>
      </c>
      <c r="B30" s="169" t="s">
        <v>626</v>
      </c>
      <c r="C30" s="169" t="s">
        <v>627</v>
      </c>
      <c r="D30" s="174"/>
    </row>
    <row r="31" spans="1:5">
      <c r="A31" s="171" t="s">
        <v>920</v>
      </c>
      <c r="B31" s="34">
        <f>B27-0.05*B27</f>
        <v>20614.05</v>
      </c>
      <c r="C31" s="35" t="s">
        <v>104</v>
      </c>
      <c r="D31" s="174"/>
    </row>
    <row r="32" spans="1:5">
      <c r="A32" s="171" t="s">
        <v>72</v>
      </c>
      <c r="B32" s="34">
        <f>IF((B21*($B$26-($B$27-0.05*$B$27)-$B$60))&lt;0,0,B21*($B$26-($B$27-0.05*$B$27)-$B$60))</f>
        <v>320.92801312579911</v>
      </c>
      <c r="C32" s="35" t="s">
        <v>104</v>
      </c>
      <c r="D32" s="174"/>
    </row>
    <row r="33" spans="1:6">
      <c r="A33" s="171" t="s">
        <v>73</v>
      </c>
      <c r="B33" s="34">
        <f>IF((B22*($B$26-($B$27-0.05*$B$27)-$B$60))&lt;0,0,B22*($B$26-($B$27-0.05*$B$27)-$B$60))</f>
        <v>2160.2219253890598</v>
      </c>
      <c r="C33" s="35" t="s">
        <v>104</v>
      </c>
      <c r="D33" s="174"/>
    </row>
    <row r="34" spans="1:6">
      <c r="A34" s="171" t="s">
        <v>74</v>
      </c>
      <c r="B34" s="34">
        <f>IF((B24*($B$26-($B$27-0.05*$B$27)-$B$60))&lt;0,0,B24*($B$26-($B$27-0.05*$B$27)-$B$60))</f>
        <v>547.87781363105796</v>
      </c>
      <c r="C34" s="34">
        <f>B26*C24</f>
        <v>6900.9310471928429</v>
      </c>
      <c r="D34" s="233"/>
    </row>
    <row r="35" spans="1:6">
      <c r="A35" s="171" t="s">
        <v>76</v>
      </c>
      <c r="B35" s="34">
        <f>IF((B19*($B$26-($B$27-0.05*$B$27)-$B$60))&lt;0,0,B19*($B$26-($B$27-0.05*$B$27)-$B$60))</f>
        <v>203.68363302191923</v>
      </c>
      <c r="C35" s="34">
        <f>B35/2</f>
        <v>101.84181651095962</v>
      </c>
      <c r="D35" s="233"/>
    </row>
    <row r="36" spans="1:6">
      <c r="A36" s="171" t="s">
        <v>77</v>
      </c>
      <c r="B36" s="34">
        <f>IF((B18*($B$26-($B$27-0.05*$B$27)-$B$60))&lt;0,0,B18*($B$26-($B$27-0.05*$B$27)-$B$60))</f>
        <v>9826.2386148321602</v>
      </c>
      <c r="C36" s="35" t="s">
        <v>104</v>
      </c>
      <c r="D36" s="174"/>
    </row>
    <row r="37" spans="1:6">
      <c r="A37" s="171" t="s">
        <v>78</v>
      </c>
      <c r="B37" s="34">
        <f>B60</f>
        <v>72</v>
      </c>
      <c r="C37" s="35" t="s">
        <v>104</v>
      </c>
      <c r="D37" s="174"/>
    </row>
    <row r="38" spans="1:6">
      <c r="A38" s="3"/>
      <c r="B38" s="44"/>
      <c r="C38" s="44"/>
      <c r="D38" s="174"/>
    </row>
    <row r="39" spans="1:6">
      <c r="A39" s="172" t="s">
        <v>482</v>
      </c>
      <c r="B39" s="168" t="s">
        <v>659</v>
      </c>
      <c r="C39" s="168" t="s">
        <v>660</v>
      </c>
      <c r="D39" s="296" t="s">
        <v>913</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233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196587.03400000001</v>
      </c>
      <c r="C5" s="18">
        <f>IF(ISERROR('Eigen informatie GS &amp; warmtenet'!B58),0,'Eigen informatie GS &amp; warmtenet'!B58)</f>
        <v>0</v>
      </c>
      <c r="D5" s="31">
        <f>SUM(D6:D12)</f>
        <v>193856.349896</v>
      </c>
      <c r="E5" s="18">
        <f>SUM(E6:E12)</f>
        <v>1563.7385695254441</v>
      </c>
      <c r="F5" s="18">
        <f>SUM(F6:F12)</f>
        <v>39697.674242330919</v>
      </c>
      <c r="G5" s="19"/>
      <c r="H5" s="18"/>
      <c r="I5" s="18"/>
      <c r="J5" s="18">
        <f>SUM(J6:J12)</f>
        <v>0</v>
      </c>
      <c r="K5" s="18"/>
      <c r="L5" s="18"/>
      <c r="M5" s="18"/>
      <c r="N5" s="18">
        <f>SUM(N6:N12)</f>
        <v>8624.3967514901669</v>
      </c>
      <c r="O5" s="18">
        <f>B38*B39*B40</f>
        <v>3.1266666666666669</v>
      </c>
      <c r="P5" s="18">
        <f>B46*B47*B48/1000-B46*B47*B48/1000/B49</f>
        <v>152.53333333333333</v>
      </c>
      <c r="R5" s="33"/>
    </row>
    <row r="6" spans="1:18">
      <c r="A6" s="33" t="s">
        <v>53</v>
      </c>
      <c r="B6" s="38">
        <f>B26</f>
        <v>71433.758000000002</v>
      </c>
      <c r="C6" s="34"/>
      <c r="D6" s="38">
        <f>IF(ISERROR(TER_kantoor_gas_kWh/1000),0,TER_kantoor_gas_kWh/1000)*0.902</f>
        <v>75349.444038000001</v>
      </c>
      <c r="E6" s="34">
        <f>$C$26*'E Balans VL '!I12/100/3.6*1000000</f>
        <v>116.68919178801504</v>
      </c>
      <c r="F6" s="34">
        <f>$C$26*('E Balans VL '!L12+'E Balans VL '!N12)/100/3.6*1000000</f>
        <v>8392.1828705809967</v>
      </c>
      <c r="G6" s="35"/>
      <c r="H6" s="34"/>
      <c r="I6" s="34"/>
      <c r="J6" s="34">
        <f>$C$26*('E Balans VL '!D12+'E Balans VL '!E12)/100/3.6*1000000</f>
        <v>0</v>
      </c>
      <c r="K6" s="34"/>
      <c r="L6" s="34"/>
      <c r="M6" s="34"/>
      <c r="N6" s="34">
        <f>$C$26*'E Balans VL '!Y12/100/3.6*1000000</f>
        <v>520.12912266565013</v>
      </c>
      <c r="O6" s="34"/>
      <c r="P6" s="34"/>
      <c r="R6" s="33"/>
    </row>
    <row r="7" spans="1:18">
      <c r="A7" s="33" t="s">
        <v>52</v>
      </c>
      <c r="B7" s="38">
        <f t="shared" ref="B7:B12" si="0">B27</f>
        <v>18603.759999999998</v>
      </c>
      <c r="C7" s="34"/>
      <c r="D7" s="38">
        <f>IF(ISERROR(TER_horeca_gas_kWh/1000),0,TER_horeca_gas_kWh/1000)*0.902</f>
        <v>17860.429840000001</v>
      </c>
      <c r="E7" s="34">
        <f>$C$27*'E Balans VL '!I9/100/3.6*1000000</f>
        <v>962.50173444724089</v>
      </c>
      <c r="F7" s="34">
        <f>$C$27*('E Balans VL '!L9+'E Balans VL '!N9)/100/3.6*1000000</f>
        <v>4232.6439742349539</v>
      </c>
      <c r="G7" s="35"/>
      <c r="H7" s="34"/>
      <c r="I7" s="34"/>
      <c r="J7" s="34">
        <f>$C$27*('E Balans VL '!D9+'E Balans VL '!E9)/100/3.6*1000000</f>
        <v>0</v>
      </c>
      <c r="K7" s="34"/>
      <c r="L7" s="34"/>
      <c r="M7" s="34"/>
      <c r="N7" s="34">
        <f>$C$27*'E Balans VL '!Y9/100/3.6*1000000</f>
        <v>1.9586507689733872</v>
      </c>
      <c r="O7" s="34"/>
      <c r="P7" s="34"/>
      <c r="R7" s="33"/>
    </row>
    <row r="8" spans="1:18">
      <c r="A8" s="6" t="s">
        <v>51</v>
      </c>
      <c r="B8" s="38">
        <f t="shared" si="0"/>
        <v>62778.497000000003</v>
      </c>
      <c r="C8" s="34"/>
      <c r="D8" s="38">
        <f>IF(ISERROR(TER_handel_gas_kWh/1000),0,TER_handel_gas_kWh/1000)*0.902</f>
        <v>32913.846504000001</v>
      </c>
      <c r="E8" s="34">
        <f>$C$28*'E Balans VL '!I13/100/3.6*1000000</f>
        <v>329.7594996220306</v>
      </c>
      <c r="F8" s="34">
        <f>$C$28*('E Balans VL '!L13+'E Balans VL '!N13)/100/3.6*1000000</f>
        <v>11835.849160373038</v>
      </c>
      <c r="G8" s="35"/>
      <c r="H8" s="34"/>
      <c r="I8" s="34"/>
      <c r="J8" s="34">
        <f>$C$28*('E Balans VL '!D13+'E Balans VL '!E13)/100/3.6*1000000</f>
        <v>0</v>
      </c>
      <c r="K8" s="34"/>
      <c r="L8" s="34"/>
      <c r="M8" s="34"/>
      <c r="N8" s="34">
        <f>$C$28*'E Balans VL '!Y13/100/3.6*1000000</f>
        <v>311.22716625711331</v>
      </c>
      <c r="O8" s="34"/>
      <c r="P8" s="34"/>
      <c r="R8" s="33"/>
    </row>
    <row r="9" spans="1:18">
      <c r="A9" s="33" t="s">
        <v>50</v>
      </c>
      <c r="B9" s="38">
        <f t="shared" si="0"/>
        <v>18615.223999999998</v>
      </c>
      <c r="C9" s="34"/>
      <c r="D9" s="38">
        <f>IF(ISERROR(TER_gezond_gas_kWh/1000),0,TER_gezond_gas_kWh/1000)*0.902</f>
        <v>29146.348550000002</v>
      </c>
      <c r="E9" s="34">
        <f>$C$29*'E Balans VL '!I10/100/3.6*1000000</f>
        <v>16.525543944569407</v>
      </c>
      <c r="F9" s="34">
        <f>$C$29*('E Balans VL '!L10+'E Balans VL '!N10)/100/3.6*1000000</f>
        <v>5785.894673373944</v>
      </c>
      <c r="G9" s="35"/>
      <c r="H9" s="34"/>
      <c r="I9" s="34"/>
      <c r="J9" s="34">
        <f>$C$29*('E Balans VL '!D10+'E Balans VL '!E10)/100/3.6*1000000</f>
        <v>0</v>
      </c>
      <c r="K9" s="34"/>
      <c r="L9" s="34"/>
      <c r="M9" s="34"/>
      <c r="N9" s="34">
        <f>$C$29*'E Balans VL '!Y10/100/3.6*1000000</f>
        <v>143.69076339530531</v>
      </c>
      <c r="O9" s="34"/>
      <c r="P9" s="34"/>
      <c r="R9" s="33"/>
    </row>
    <row r="10" spans="1:18">
      <c r="A10" s="33" t="s">
        <v>49</v>
      </c>
      <c r="B10" s="38">
        <f t="shared" si="0"/>
        <v>16016.562</v>
      </c>
      <c r="C10" s="34"/>
      <c r="D10" s="38">
        <f>IF(ISERROR(TER_ander_gas_kWh/1000),0,TER_ander_gas_kWh/1000)*0.902</f>
        <v>18057.694533999998</v>
      </c>
      <c r="E10" s="34">
        <f>$C$30*'E Balans VL '!I14/100/3.6*1000000</f>
        <v>130.6380451742034</v>
      </c>
      <c r="F10" s="34">
        <f>$C$30*('E Balans VL '!L14+'E Balans VL '!N14)/100/3.6*1000000</f>
        <v>4668.5304574637785</v>
      </c>
      <c r="G10" s="35"/>
      <c r="H10" s="34"/>
      <c r="I10" s="34"/>
      <c r="J10" s="34">
        <f>$C$30*('E Balans VL '!D14+'E Balans VL '!E14)/100/3.6*1000000</f>
        <v>0</v>
      </c>
      <c r="K10" s="34"/>
      <c r="L10" s="34"/>
      <c r="M10" s="34"/>
      <c r="N10" s="34">
        <f>$C$30*'E Balans VL '!Y14/100/3.6*1000000</f>
        <v>7607.1529889380272</v>
      </c>
      <c r="O10" s="34"/>
      <c r="P10" s="34"/>
      <c r="R10" s="33"/>
    </row>
    <row r="11" spans="1:18">
      <c r="A11" s="33" t="s">
        <v>54</v>
      </c>
      <c r="B11" s="38">
        <f t="shared" si="0"/>
        <v>9139.2330000000002</v>
      </c>
      <c r="C11" s="34"/>
      <c r="D11" s="38">
        <f>IF(ISERROR(TER_onderwijs_gas_kWh/1000),0,TER_onderwijs_gas_kWh/1000)*0.902</f>
        <v>20528.586429999999</v>
      </c>
      <c r="E11" s="34">
        <f>$C$31*'E Balans VL '!I11/100/3.6*1000000</f>
        <v>7.6245545493849098</v>
      </c>
      <c r="F11" s="34">
        <f>$C$31*('E Balans VL '!L11+'E Balans VL '!N11)/100/3.6*1000000</f>
        <v>4782.5731063042076</v>
      </c>
      <c r="G11" s="35"/>
      <c r="H11" s="34"/>
      <c r="I11" s="34"/>
      <c r="J11" s="34">
        <f>$C$31*('E Balans VL '!D11+'E Balans VL '!E11)/100/3.6*1000000</f>
        <v>0</v>
      </c>
      <c r="K11" s="34"/>
      <c r="L11" s="34"/>
      <c r="M11" s="34"/>
      <c r="N11" s="34">
        <f>$C$31*'E Balans VL '!Y11/100/3.6*1000000</f>
        <v>40.238059465097621</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energieproductie'!N41+'lokale energieproductie'!N34</f>
        <v>3238.65</v>
      </c>
      <c r="C13" s="246">
        <f ca="1">'lokale energieproductie'!O41+'lokale energieproductie'!O34</f>
        <v>2858.7857142857142</v>
      </c>
      <c r="D13" s="305">
        <f ca="1">('lokale energieproductie'!P34+'lokale energieproductie'!P41)*(-1)</f>
        <v>-5717.5714285714294</v>
      </c>
      <c r="E13" s="247"/>
      <c r="F13" s="305">
        <f ca="1">('lokale energieproductie'!S34+'lokale energieproductie'!S41)*(-1)</f>
        <v>0</v>
      </c>
      <c r="G13" s="248"/>
      <c r="H13" s="247"/>
      <c r="I13" s="247"/>
      <c r="J13" s="247"/>
      <c r="K13" s="247"/>
      <c r="L13" s="305">
        <f ca="1">('lokale energieproductie'!U34+'lokale energieproductie'!T34+'lokale energieproductie'!U41+'lokale energieproductie'!T41)*(-1)</f>
        <v>0</v>
      </c>
      <c r="M13" s="247"/>
      <c r="N13" s="305">
        <f ca="1">('lokale energieproductie'!Q34+'lokale energieproductie'!R34+'lokale energieproductie'!V34+'lokale energieproductie'!Q41+'lokale energieproductie'!R41+'lokale energieproductie'!V41)*(-1)</f>
        <v>-3535.7142857142858</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199825.68400000001</v>
      </c>
      <c r="C16" s="22">
        <f t="shared" ca="1" si="1"/>
        <v>2858.7857142857142</v>
      </c>
      <c r="D16" s="22">
        <f t="shared" ca="1" si="1"/>
        <v>188138.77846742858</v>
      </c>
      <c r="E16" s="22">
        <f t="shared" si="1"/>
        <v>1563.7385695254441</v>
      </c>
      <c r="F16" s="22">
        <f t="shared" ca="1" si="1"/>
        <v>39697.674242330919</v>
      </c>
      <c r="G16" s="22">
        <f t="shared" si="1"/>
        <v>0</v>
      </c>
      <c r="H16" s="22">
        <f t="shared" si="1"/>
        <v>0</v>
      </c>
      <c r="I16" s="22">
        <f t="shared" si="1"/>
        <v>0</v>
      </c>
      <c r="J16" s="22">
        <f t="shared" si="1"/>
        <v>0</v>
      </c>
      <c r="K16" s="22">
        <f t="shared" si="1"/>
        <v>0</v>
      </c>
      <c r="L16" s="22">
        <f t="shared" ca="1" si="1"/>
        <v>0</v>
      </c>
      <c r="M16" s="22">
        <f t="shared" si="1"/>
        <v>0</v>
      </c>
      <c r="N16" s="22">
        <f t="shared" ca="1" si="1"/>
        <v>5088.6824657758807</v>
      </c>
      <c r="O16" s="22">
        <f>O5</f>
        <v>3.1266666666666669</v>
      </c>
      <c r="P16" s="22">
        <f>P5</f>
        <v>152.53333333333333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0.2025936153876903</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40483.40776887814</v>
      </c>
      <c r="C20" s="24">
        <f t="shared" ref="C20:P20" ca="1" si="2">C16*C18</f>
        <v>679.38201680672285</v>
      </c>
      <c r="D20" s="24">
        <f t="shared" ca="1" si="2"/>
        <v>38004.033250420573</v>
      </c>
      <c r="E20" s="24">
        <f t="shared" si="2"/>
        <v>354.96865528227579</v>
      </c>
      <c r="F20" s="24">
        <f t="shared" ca="1" si="2"/>
        <v>10599.279022702356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71433.758000000002</v>
      </c>
      <c r="C26" s="40">
        <f>IF(ISERROR(B26*3.6/1000000/'E Balans VL '!Z12*100),0,B26*3.6/1000000/'E Balans VL '!Z12*100)</f>
        <v>1.5140425262678903</v>
      </c>
      <c r="D26" s="236" t="s">
        <v>662</v>
      </c>
      <c r="F26" s="6"/>
    </row>
    <row r="27" spans="1:18">
      <c r="A27" s="231" t="s">
        <v>52</v>
      </c>
      <c r="B27" s="34">
        <f>IF(ISERROR(TER_horeca_ele_kWh/1000),0,TER_horeca_ele_kWh/1000)</f>
        <v>18603.759999999998</v>
      </c>
      <c r="C27" s="40">
        <f>IF(ISERROR(B27*3.6/1000000/'E Balans VL '!Z9*100),0,B27*3.6/1000000/'E Balans VL '!Z9*100)</f>
        <v>1.4598639271851335</v>
      </c>
      <c r="D27" s="236" t="s">
        <v>662</v>
      </c>
      <c r="F27" s="6"/>
    </row>
    <row r="28" spans="1:18">
      <c r="A28" s="171" t="s">
        <v>51</v>
      </c>
      <c r="B28" s="34">
        <f>IF(ISERROR(TER_handel_ele_kWh/1000),0,TER_handel_ele_kWh/1000)</f>
        <v>62778.497000000003</v>
      </c>
      <c r="C28" s="40">
        <f>IF(ISERROR(B28*3.6/1000000/'E Balans VL '!Z13*100),0,B28*3.6/1000000/'E Balans VL '!Z13*100)</f>
        <v>1.7531802366826423</v>
      </c>
      <c r="D28" s="236" t="s">
        <v>662</v>
      </c>
      <c r="F28" s="6"/>
    </row>
    <row r="29" spans="1:18">
      <c r="A29" s="231" t="s">
        <v>50</v>
      </c>
      <c r="B29" s="34">
        <f>IF(ISERROR(TER_gezond_ele_kWh/1000),0,TER_gezond_ele_kWh/1000)</f>
        <v>18615.223999999998</v>
      </c>
      <c r="C29" s="40">
        <f>IF(ISERROR(B29*3.6/1000000/'E Balans VL '!Z10*100),0,B29*3.6/1000000/'E Balans VL '!Z10*100)</f>
        <v>2.1332921525083193</v>
      </c>
      <c r="D29" s="236" t="s">
        <v>662</v>
      </c>
      <c r="F29" s="6"/>
    </row>
    <row r="30" spans="1:18">
      <c r="A30" s="231" t="s">
        <v>49</v>
      </c>
      <c r="B30" s="34">
        <f>IF(ISERROR(TER_ander_ele_kWh/1000),0,TER_ander_ele_kWh/1000)</f>
        <v>16016.562</v>
      </c>
      <c r="C30" s="40">
        <f>IF(ISERROR(B30*3.6/1000000/'E Balans VL '!Z14*100),0,B30*3.6/1000000/'E Balans VL '!Z14*100)</f>
        <v>1.1943076583450829</v>
      </c>
      <c r="D30" s="236" t="s">
        <v>662</v>
      </c>
      <c r="F30" s="6"/>
    </row>
    <row r="31" spans="1:18">
      <c r="A31" s="231" t="s">
        <v>54</v>
      </c>
      <c r="B31" s="34">
        <f>IF(ISERROR(TER_onderwijs_ele_kWh/1000),0,TER_onderwijs_ele_kWh/1000)</f>
        <v>9139.2330000000002</v>
      </c>
      <c r="C31" s="40">
        <f>IF(ISERROR(B31*3.6/1000000/'E Balans VL '!Z11*100),0,B31*3.6/1000000/'E Balans VL '!Z11*100)</f>
        <v>2.6120129480751459</v>
      </c>
      <c r="D31" s="236" t="s">
        <v>662</v>
      </c>
    </row>
    <row r="32" spans="1:18">
      <c r="A32" s="231" t="s">
        <v>249</v>
      </c>
      <c r="B32" s="34">
        <f>IF(ISERROR(TER_rest_ele_kWh/1000),0,TER_rest_ele_kWh/1000)</f>
        <v>0</v>
      </c>
      <c r="C32" s="40">
        <f>IF(ISERROR(B32*3.6/1000000/'E Balans VL '!Z8*100),0,B32*3.6/1000000/'E Balans VL '!Z8*100)</f>
        <v>0</v>
      </c>
      <c r="D32" s="236" t="s">
        <v>662</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8</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69203.551000000007</v>
      </c>
      <c r="C5" s="18">
        <f>IF(ISERROR('Eigen informatie GS &amp; warmtenet'!B59),0,'Eigen informatie GS &amp; warmtenet'!B59)</f>
        <v>0</v>
      </c>
      <c r="D5" s="31">
        <f>SUM(D6:D15)</f>
        <v>95714.220954000019</v>
      </c>
      <c r="E5" s="18">
        <f>SUM(E6:E15)</f>
        <v>839.22316727889245</v>
      </c>
      <c r="F5" s="18">
        <f>SUM(F6:F15)</f>
        <v>33804.569876145426</v>
      </c>
      <c r="G5" s="19"/>
      <c r="H5" s="18"/>
      <c r="I5" s="18"/>
      <c r="J5" s="18">
        <f>SUM(J6:J15)</f>
        <v>159.91296162691609</v>
      </c>
      <c r="K5" s="18"/>
      <c r="L5" s="18"/>
      <c r="M5" s="18"/>
      <c r="N5" s="18">
        <f>SUM(N6:N15)</f>
        <v>4341.8786544085615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4176.5450000000001</v>
      </c>
      <c r="C8" s="34"/>
      <c r="D8" s="38">
        <f>IF( ISERROR(IND_metaal_Gas_kWH/1000),0,IND_metaal_Gas_kWH/1000)*0.902</f>
        <v>4457.0056960000002</v>
      </c>
      <c r="E8" s="34">
        <f>C30*'E Balans VL '!I18/100/3.6*1000000</f>
        <v>38.03504264999215</v>
      </c>
      <c r="F8" s="34">
        <f>C30*'E Balans VL '!L18/100/3.6*1000000+C30*'E Balans VL '!N18/100/3.6*1000000</f>
        <v>550.85456827250948</v>
      </c>
      <c r="G8" s="35"/>
      <c r="H8" s="34"/>
      <c r="I8" s="34"/>
      <c r="J8" s="41">
        <f>C30*'E Balans VL '!D18/100/3.6*1000000+C30*'E Balans VL '!E18/100/3.6*1000000</f>
        <v>68.48927387502259</v>
      </c>
      <c r="K8" s="34"/>
      <c r="L8" s="34"/>
      <c r="M8" s="34"/>
      <c r="N8" s="34">
        <f>C30*'E Balans VL '!Y18/100/3.6*1000000</f>
        <v>14.353126036754736</v>
      </c>
      <c r="O8" s="34"/>
      <c r="P8" s="34"/>
      <c r="R8" s="33"/>
    </row>
    <row r="9" spans="1:18">
      <c r="A9" s="6" t="s">
        <v>32</v>
      </c>
      <c r="B9" s="38">
        <f t="shared" si="0"/>
        <v>34579.629000000001</v>
      </c>
      <c r="C9" s="34"/>
      <c r="D9" s="38">
        <f>IF( ISERROR(IND_andere_gas_kWh/1000),0,IND_andere_gas_kWh/1000)*0.902</f>
        <v>16960.329452000002</v>
      </c>
      <c r="E9" s="34">
        <f>C31*'E Balans VL '!I19/100/3.6*1000000</f>
        <v>199.87542311813485</v>
      </c>
      <c r="F9" s="34">
        <f>C31*'E Balans VL '!L19/100/3.6*1000000+C31*'E Balans VL '!N19/100/3.6*1000000</f>
        <v>27509.758775404305</v>
      </c>
      <c r="G9" s="35"/>
      <c r="H9" s="34"/>
      <c r="I9" s="34"/>
      <c r="J9" s="41">
        <f>C31*'E Balans VL '!D19/100/3.6*1000000+C31*'E Balans VL '!E19/100/3.6*1000000</f>
        <v>3.2708488037602286</v>
      </c>
      <c r="K9" s="34"/>
      <c r="L9" s="34"/>
      <c r="M9" s="34"/>
      <c r="N9" s="34">
        <f>C31*'E Balans VL '!Y19/100/3.6*1000000</f>
        <v>2619.9302009002645</v>
      </c>
      <c r="O9" s="34"/>
      <c r="P9" s="34"/>
      <c r="R9" s="33"/>
    </row>
    <row r="10" spans="1:18">
      <c r="A10" s="6" t="s">
        <v>40</v>
      </c>
      <c r="B10" s="38">
        <f t="shared" si="0"/>
        <v>12149.156999999999</v>
      </c>
      <c r="C10" s="34"/>
      <c r="D10" s="38">
        <f>IF( ISERROR(IND_voed_gas_kWh/1000),0,IND_voed_gas_kWh/1000)*0.902</f>
        <v>11191.830188</v>
      </c>
      <c r="E10" s="34">
        <f>C32*'E Balans VL '!I20/100/3.6*1000000</f>
        <v>119.45799734305817</v>
      </c>
      <c r="F10" s="34">
        <f>C32*'E Balans VL '!L20/100/3.6*1000000+C32*'E Balans VL '!N20/100/3.6*1000000</f>
        <v>1349.3224634759786</v>
      </c>
      <c r="G10" s="35"/>
      <c r="H10" s="34"/>
      <c r="I10" s="34"/>
      <c r="J10" s="41">
        <f>C32*'E Balans VL '!D20/100/3.6*1000000+C32*'E Balans VL '!E20/100/3.6*1000000</f>
        <v>4.7885343122404549E-2</v>
      </c>
      <c r="K10" s="34"/>
      <c r="L10" s="34"/>
      <c r="M10" s="34"/>
      <c r="N10" s="34">
        <f>C32*'E Balans VL '!Y20/100/3.6*1000000</f>
        <v>179.90043734041191</v>
      </c>
      <c r="O10" s="34"/>
      <c r="P10" s="34"/>
      <c r="R10" s="33"/>
    </row>
    <row r="11" spans="1:18">
      <c r="A11" s="6" t="s">
        <v>39</v>
      </c>
      <c r="B11" s="38">
        <f t="shared" si="0"/>
        <v>451.17500000000001</v>
      </c>
      <c r="C11" s="34"/>
      <c r="D11" s="38">
        <f>IF( ISERROR(IND_textiel_gas_kWh/1000),0,IND_textiel_gas_kWh/1000)*0.902</f>
        <v>261.43117000000001</v>
      </c>
      <c r="E11" s="34">
        <f>C33*'E Balans VL '!I21/100/3.6*1000000</f>
        <v>0.87854249092375969</v>
      </c>
      <c r="F11" s="34">
        <f>C33*'E Balans VL '!L21/100/3.6*1000000+C33*'E Balans VL '!N21/100/3.6*1000000</f>
        <v>14.881232032378753</v>
      </c>
      <c r="G11" s="35"/>
      <c r="H11" s="34"/>
      <c r="I11" s="34"/>
      <c r="J11" s="41">
        <f>C33*'E Balans VL '!D21/100/3.6*1000000+C33*'E Balans VL '!E21/100/3.6*1000000</f>
        <v>0</v>
      </c>
      <c r="K11" s="34"/>
      <c r="L11" s="34"/>
      <c r="M11" s="34"/>
      <c r="N11" s="34">
        <f>C33*'E Balans VL '!Y21/100/3.6*1000000</f>
        <v>4.6798714202405023</v>
      </c>
      <c r="O11" s="34"/>
      <c r="P11" s="34"/>
      <c r="R11" s="33"/>
    </row>
    <row r="12" spans="1:18">
      <c r="A12" s="6" t="s">
        <v>36</v>
      </c>
      <c r="B12" s="38">
        <f t="shared" si="0"/>
        <v>13288.496999999999</v>
      </c>
      <c r="C12" s="34"/>
      <c r="D12" s="38">
        <f>IF( ISERROR(IND_min_gas_kWh/1000),0,IND_min_gas_kWh/1000)*0.902</f>
        <v>58320.354224000002</v>
      </c>
      <c r="E12" s="34">
        <f>C34*'E Balans VL '!I22/100/3.6*1000000</f>
        <v>336.88704576500385</v>
      </c>
      <c r="F12" s="34">
        <f>C34*'E Balans VL '!L22/100/3.6*1000000+C34*'E Balans VL '!N22/100/3.6*1000000</f>
        <v>3676.9734381559351</v>
      </c>
      <c r="G12" s="35"/>
      <c r="H12" s="34"/>
      <c r="I12" s="34"/>
      <c r="J12" s="41">
        <f>C34*'E Balans VL '!D22/100/3.6*1000000+C34*'E Balans VL '!E22/100/3.6*1000000</f>
        <v>87.75990452380168</v>
      </c>
      <c r="K12" s="34"/>
      <c r="L12" s="34"/>
      <c r="M12" s="34"/>
      <c r="N12" s="34">
        <f>C34*'E Balans VL '!Y22/100/3.6*1000000</f>
        <v>0</v>
      </c>
      <c r="O12" s="34"/>
      <c r="P12" s="34"/>
      <c r="R12" s="33"/>
    </row>
    <row r="13" spans="1:18">
      <c r="A13" s="6" t="s">
        <v>38</v>
      </c>
      <c r="B13" s="38">
        <f t="shared" si="0"/>
        <v>4132.924</v>
      </c>
      <c r="C13" s="34"/>
      <c r="D13" s="38">
        <f>IF( ISERROR(IND_papier_gas_kWh/1000),0,IND_papier_gas_kWh/1000)*0.902</f>
        <v>3489.1236160000003</v>
      </c>
      <c r="E13" s="34">
        <f>C35*'E Balans VL '!I23/100/3.6*1000000</f>
        <v>140.77338379237943</v>
      </c>
      <c r="F13" s="34">
        <f>C35*'E Balans VL '!L23/100/3.6*1000000+C35*'E Balans VL '!N23/100/3.6*1000000</f>
        <v>682.66204716164941</v>
      </c>
      <c r="G13" s="35"/>
      <c r="H13" s="34"/>
      <c r="I13" s="34"/>
      <c r="J13" s="41">
        <f>C35*'E Balans VL '!D23/100/3.6*1000000+C35*'E Balans VL '!E23/100/3.6*1000000</f>
        <v>0</v>
      </c>
      <c r="K13" s="34"/>
      <c r="L13" s="34"/>
      <c r="M13" s="34"/>
      <c r="N13" s="34">
        <f>C35*'E Balans VL '!Y23/100/3.6*1000000</f>
        <v>1520.8051955703659</v>
      </c>
      <c r="O13" s="34"/>
      <c r="P13" s="34"/>
      <c r="R13" s="33"/>
    </row>
    <row r="14" spans="1:18">
      <c r="A14" s="6" t="s">
        <v>33</v>
      </c>
      <c r="B14" s="38">
        <f t="shared" si="0"/>
        <v>357.00900000000001</v>
      </c>
      <c r="C14" s="34"/>
      <c r="D14" s="38">
        <f>IF( ISERROR(IND_chemie_gas_kWh/1000),0,IND_chemie_gas_kWh/1000)*0.902</f>
        <v>1010.580956</v>
      </c>
      <c r="E14" s="34">
        <f>C36*'E Balans VL '!I24/100/3.6*1000000</f>
        <v>2.6991789351568451</v>
      </c>
      <c r="F14" s="34">
        <f>C36*'E Balans VL '!L24/100/3.6*1000000+C36*'E Balans VL '!N24/100/3.6*1000000</f>
        <v>6.605653563392659</v>
      </c>
      <c r="G14" s="35"/>
      <c r="H14" s="34"/>
      <c r="I14" s="34"/>
      <c r="J14" s="41">
        <f>C36*'E Balans VL '!D24/100/3.6*1000000+C36*'E Balans VL '!E24/100/3.6*1000000</f>
        <v>0</v>
      </c>
      <c r="K14" s="34"/>
      <c r="L14" s="34"/>
      <c r="M14" s="34"/>
      <c r="N14" s="34">
        <f>C36*'E Balans VL '!Y24/100/3.6*1000000</f>
        <v>0.10352340411649216</v>
      </c>
      <c r="O14" s="34"/>
      <c r="P14" s="34"/>
      <c r="R14" s="33"/>
    </row>
    <row r="15" spans="1:18">
      <c r="A15" s="6" t="s">
        <v>259</v>
      </c>
      <c r="B15" s="38">
        <f t="shared" si="0"/>
        <v>68.614999999999995</v>
      </c>
      <c r="C15" s="34"/>
      <c r="D15" s="38">
        <f>IF( ISERROR(IND_rest_gas_kWh/1000),0,IND_rest_gas_kWh/1000)*0.902</f>
        <v>23.565652</v>
      </c>
      <c r="E15" s="34">
        <f>C37*'E Balans VL '!I15/100/3.6*1000000</f>
        <v>0.61655318424339334</v>
      </c>
      <c r="F15" s="34">
        <f>C37*'E Balans VL '!L15/100/3.6*1000000+C37*'E Balans VL '!N15/100/3.6*1000000</f>
        <v>13.511698079277581</v>
      </c>
      <c r="G15" s="35"/>
      <c r="H15" s="34"/>
      <c r="I15" s="34"/>
      <c r="J15" s="41">
        <f>C37*'E Balans VL '!D15/100/3.6*1000000+C37*'E Balans VL '!E15/100/3.6*1000000</f>
        <v>0.34504908120915939</v>
      </c>
      <c r="K15" s="34"/>
      <c r="L15" s="34"/>
      <c r="M15" s="34"/>
      <c r="N15" s="34">
        <f>C37*'E Balans VL '!Y15/100/3.6*1000000</f>
        <v>2.1062997364070539</v>
      </c>
      <c r="O15" s="34"/>
      <c r="P15" s="34"/>
      <c r="R15" s="33"/>
    </row>
    <row r="16" spans="1:18">
      <c r="A16" s="17" t="s">
        <v>488</v>
      </c>
      <c r="B16" s="246">
        <f>'lokale energieproductie'!N40+'lokale energieproductie'!N33</f>
        <v>225</v>
      </c>
      <c r="C16" s="246">
        <f>'lokale energieproductie'!O40+'lokale energieproductie'!O33</f>
        <v>321.42857142857144</v>
      </c>
      <c r="D16" s="305">
        <f>('lokale energieproductie'!P33+'lokale energieproductie'!P40)*(-1)</f>
        <v>-642.85714285714289</v>
      </c>
      <c r="E16" s="247"/>
      <c r="F16" s="305">
        <f>('lokale energieproductie'!S33+'lokale energieproductie'!S40)*(-1)</f>
        <v>0</v>
      </c>
      <c r="G16" s="248"/>
      <c r="H16" s="247"/>
      <c r="I16" s="247"/>
      <c r="J16" s="247"/>
      <c r="K16" s="247"/>
      <c r="L16" s="305">
        <f>('lokale energieproductie'!T33+'lokale energieproductie'!U33+'lokale energieproductie'!T40+'lokale energieproductie'!U40)*(-1)</f>
        <v>0</v>
      </c>
      <c r="M16" s="247"/>
      <c r="N16" s="305">
        <f>('lokale energieproductie'!Q33+'lokale energieproductie'!R33+'lokale energieproductie'!V33+'lokale energieproductie'!Q40+'lokale energieproductie'!R40+'lokale energieproductie'!V40)*(-1)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69428.551000000007</v>
      </c>
      <c r="C18" s="22">
        <f>C5+C16</f>
        <v>321.42857142857144</v>
      </c>
      <c r="D18" s="22">
        <f>MAX((D5+D16),0)</f>
        <v>95071.363811142874</v>
      </c>
      <c r="E18" s="22">
        <f>MAX((E5+E16),0)</f>
        <v>839.22316727889245</v>
      </c>
      <c r="F18" s="22">
        <f>MAX((F5+F16),0)</f>
        <v>33804.569876145426</v>
      </c>
      <c r="G18" s="22"/>
      <c r="H18" s="22"/>
      <c r="I18" s="22"/>
      <c r="J18" s="22">
        <f>MAX((J5+J16),0)</f>
        <v>159.91296162691609</v>
      </c>
      <c r="K18" s="22"/>
      <c r="L18" s="22">
        <f>MAX((L5+L16),0)</f>
        <v>0</v>
      </c>
      <c r="M18" s="22"/>
      <c r="N18" s="22">
        <f>MAX((N5+N16),0)</f>
        <v>4341.8786544085615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0.2025936153876903</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14065.781158218642</v>
      </c>
      <c r="C22" s="24">
        <f ca="1">C18*C20</f>
        <v>76.386554621848759</v>
      </c>
      <c r="D22" s="24">
        <f>D18*D20</f>
        <v>19204.41548985086</v>
      </c>
      <c r="E22" s="24">
        <f>E18*E20</f>
        <v>190.50365897230859</v>
      </c>
      <c r="F22" s="24">
        <f>F18*F20</f>
        <v>9025.8201569308294</v>
      </c>
      <c r="G22" s="24"/>
      <c r="H22" s="24"/>
      <c r="I22" s="24"/>
      <c r="J22" s="24">
        <f>J18*J20</f>
        <v>56.609188415928294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662</v>
      </c>
    </row>
    <row r="29" spans="1:18">
      <c r="A29" s="171" t="s">
        <v>37</v>
      </c>
      <c r="B29" s="38">
        <f>IF( ISERROR(IND_nonf_ele_kWh/1000),0,IND_nonf_ele_kWh/1000)</f>
        <v>0</v>
      </c>
      <c r="C29" s="40">
        <f>IF(ISERROR(B29*3.6/1000000/'E Balans VL '!Z17*100),0,B29*3.6/1000000/'E Balans VL '!Z17*100)</f>
        <v>0</v>
      </c>
      <c r="D29" s="236" t="s">
        <v>662</v>
      </c>
    </row>
    <row r="30" spans="1:18">
      <c r="A30" s="171" t="s">
        <v>35</v>
      </c>
      <c r="B30" s="38">
        <f>IF( ISERROR(IND_metaal_ele_kWh/1000),0,IND_metaal_ele_kWh/1000)</f>
        <v>4176.5450000000001</v>
      </c>
      <c r="C30" s="40">
        <f>IF(ISERROR(B30*3.6/1000000/'E Balans VL '!Z18*100),0,B30*3.6/1000000/'E Balans VL '!Z18*100)</f>
        <v>0.2323968009332027</v>
      </c>
      <c r="D30" s="236" t="s">
        <v>662</v>
      </c>
    </row>
    <row r="31" spans="1:18">
      <c r="A31" s="6" t="s">
        <v>32</v>
      </c>
      <c r="B31" s="38">
        <f>IF( ISERROR(IND_ander_ele_kWh/1000),0,IND_ander_ele_kWh/1000)</f>
        <v>34579.629000000001</v>
      </c>
      <c r="C31" s="40">
        <f>IF(ISERROR(B31*3.6/1000000/'E Balans VL '!Z19*100),0,B31*3.6/1000000/'E Balans VL '!Z19*100)</f>
        <v>1.6075161356364265</v>
      </c>
      <c r="D31" s="236" t="s">
        <v>662</v>
      </c>
    </row>
    <row r="32" spans="1:18">
      <c r="A32" s="171" t="s">
        <v>40</v>
      </c>
      <c r="B32" s="38">
        <f>IF( ISERROR(IND_voed_ele_kWh/1000),0,IND_voed_ele_kWh/1000)</f>
        <v>12149.156999999999</v>
      </c>
      <c r="C32" s="40">
        <f>IF(ISERROR(B32*3.6/1000000/'E Balans VL '!Z20*100),0,B32*3.6/1000000/'E Balans VL '!Z20*100)</f>
        <v>0.42944816368831706</v>
      </c>
      <c r="D32" s="236" t="s">
        <v>662</v>
      </c>
    </row>
    <row r="33" spans="1:5">
      <c r="A33" s="171" t="s">
        <v>39</v>
      </c>
      <c r="B33" s="38">
        <f>IF( ISERROR(IND_textiel_ele_kWh/1000),0,IND_textiel_ele_kWh/1000)</f>
        <v>451.17500000000001</v>
      </c>
      <c r="C33" s="40">
        <f>IF(ISERROR(B33*3.6/1000000/'E Balans VL '!Z21*100),0,B33*3.6/1000000/'E Balans VL '!Z21*100)</f>
        <v>6.0938029850854725E-2</v>
      </c>
      <c r="D33" s="236" t="s">
        <v>662</v>
      </c>
    </row>
    <row r="34" spans="1:5">
      <c r="A34" s="171" t="s">
        <v>36</v>
      </c>
      <c r="B34" s="38">
        <f>IF( ISERROR(IND_min_ele_kWh/1000),0,IND_min_ele_kWh/1000)</f>
        <v>13288.496999999999</v>
      </c>
      <c r="C34" s="40">
        <f>IF(ISERROR(B34*3.6/1000000/'E Balans VL '!Z22*100),0,B34*3.6/1000000/'E Balans VL '!Z22*100)</f>
        <v>2.670613174044278</v>
      </c>
      <c r="D34" s="236" t="s">
        <v>662</v>
      </c>
    </row>
    <row r="35" spans="1:5">
      <c r="A35" s="171" t="s">
        <v>38</v>
      </c>
      <c r="B35" s="38">
        <f>IF( ISERROR(IND_papier_ele_kWh/1000),0,IND_papier_ele_kWh/1000)</f>
        <v>4132.924</v>
      </c>
      <c r="C35" s="40">
        <f>IF(ISERROR(B35*3.6/1000000/'E Balans VL '!Z22*100),0,B35*3.6/1000000/'E Balans VL '!Z22*100)</f>
        <v>0.8306011794805519</v>
      </c>
      <c r="D35" s="236" t="s">
        <v>662</v>
      </c>
    </row>
    <row r="36" spans="1:5">
      <c r="A36" s="171" t="s">
        <v>33</v>
      </c>
      <c r="B36" s="38">
        <f>IF( ISERROR(IND_chemie_ele_kWh/1000),0,IND_chemie_ele_kWh/1000)</f>
        <v>357.00900000000001</v>
      </c>
      <c r="C36" s="40">
        <f>IF(ISERROR(B36*3.6/1000000/'E Balans VL '!Z24*100),0,B36*3.6/1000000/'E Balans VL '!Z24*100)</f>
        <v>8.7914265372594762E-3</v>
      </c>
      <c r="D36" s="236" t="s">
        <v>662</v>
      </c>
    </row>
    <row r="37" spans="1:5">
      <c r="A37" s="171" t="s">
        <v>259</v>
      </c>
      <c r="B37" s="38">
        <f>IF( ISERROR(IND_rest_ele_kWh/1000),0,IND_rest_ele_kWh/1000)</f>
        <v>68.614999999999995</v>
      </c>
      <c r="C37" s="40">
        <f>IF(ISERROR(B37*3.6/1000000/'E Balans VL '!Z15*100),0,B37*3.6/1000000/'E Balans VL '!Z15*100)</f>
        <v>5.1814460968210103E-4</v>
      </c>
      <c r="D37" s="236" t="s">
        <v>662</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3383.6849999999999</v>
      </c>
      <c r="C5" s="18">
        <f>'Eigen informatie GS &amp; warmtenet'!B60</f>
        <v>0</v>
      </c>
      <c r="D5" s="31">
        <f>IF(ISERROR(SUM(LB_lb_gas_kWh,LB_rest_gas_kWh)/1000),0,SUM(LB_lb_gas_kWh,LB_rest_gas_kWh)/1000)*0.902</f>
        <v>2317.3931440000001</v>
      </c>
      <c r="E5" s="18">
        <f>B17*'E Balans VL '!I25/3.6*1000000/100</f>
        <v>33.414505234114245</v>
      </c>
      <c r="F5" s="18">
        <f>B17*('E Balans VL '!L25/3.6*1000000+'E Balans VL '!N25/3.6*1000000)/100</f>
        <v>11288.868476178935</v>
      </c>
      <c r="G5" s="19"/>
      <c r="H5" s="18"/>
      <c r="I5" s="18"/>
      <c r="J5" s="18">
        <f>('E Balans VL '!D25+'E Balans VL '!E25)/3.6*1000000*landbouw!B17/100</f>
        <v>337.58906087341342</v>
      </c>
      <c r="K5" s="18"/>
      <c r="L5" s="18">
        <f>L6*(-1)</f>
        <v>0</v>
      </c>
      <c r="M5" s="18"/>
      <c r="N5" s="18">
        <f>N6*(-1)</f>
        <v>0</v>
      </c>
      <c r="O5" s="18"/>
      <c r="P5" s="18"/>
      <c r="R5" s="33"/>
    </row>
    <row r="6" spans="1:18">
      <c r="A6" s="17" t="s">
        <v>488</v>
      </c>
      <c r="B6" s="18" t="s">
        <v>204</v>
      </c>
      <c r="C6" s="18">
        <f>'lokale energieproductie'!O42+'lokale energieproductie'!O35</f>
        <v>0</v>
      </c>
      <c r="D6" s="305">
        <f>('lokale energieproductie'!P35+'lokale energieproductie'!P42)*(-1)</f>
        <v>0</v>
      </c>
      <c r="E6" s="247"/>
      <c r="F6" s="305">
        <f>('lokale energieproductie'!S35+'lokale energieproductie'!S42)*(-1)</f>
        <v>0</v>
      </c>
      <c r="G6" s="248"/>
      <c r="H6" s="247"/>
      <c r="I6" s="247"/>
      <c r="J6" s="247"/>
      <c r="K6" s="247"/>
      <c r="L6" s="305">
        <f>('lokale energieproductie'!T35+'lokale energieproductie'!U35+'lokale energieproductie'!T42+'lokale energieproductie'!U42)*(-1)</f>
        <v>0</v>
      </c>
      <c r="M6" s="247"/>
      <c r="N6" s="305">
        <f>('lokale energieproductie'!V35+'lokale energieproductie'!R35+'lokale energieproductie'!Q35+'lokale energieproductie'!Q42+'lokale energieproductie'!R42+'lokale energieproductie'!V42)*(-1)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3383.6849999999999</v>
      </c>
      <c r="C8" s="22">
        <f>C5+C6</f>
        <v>0</v>
      </c>
      <c r="D8" s="22">
        <f>MAX((D5+D6),0)</f>
        <v>2317.3931440000001</v>
      </c>
      <c r="E8" s="22">
        <f>MAX((E5+E6),0)</f>
        <v>33.414505234114245</v>
      </c>
      <c r="F8" s="22">
        <f>MAX((F5+F6),0)</f>
        <v>11288.868476178935</v>
      </c>
      <c r="G8" s="22"/>
      <c r="H8" s="22"/>
      <c r="I8" s="22"/>
      <c r="J8" s="22">
        <f>MAX((J5+J6),0)</f>
        <v>337.58906087341342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0.2025936153876903</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685.51297748309685</v>
      </c>
      <c r="C12" s="24">
        <f ca="1">C8*C10</f>
        <v>0</v>
      </c>
      <c r="D12" s="24">
        <f>D8*D10</f>
        <v>468.11341508800007</v>
      </c>
      <c r="E12" s="24">
        <f>E8*E10</f>
        <v>7.5850926881439333</v>
      </c>
      <c r="F12" s="24">
        <f>F8*F10</f>
        <v>3014.1278831397758</v>
      </c>
      <c r="G12" s="24"/>
      <c r="H12" s="24"/>
      <c r="I12" s="24"/>
      <c r="J12" s="24">
        <f>J8*J10</f>
        <v>119.50652754918835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0.45809687944213989</v>
      </c>
      <c r="C17" s="236" t="s">
        <v>662</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190.05515652532071</v>
      </c>
      <c r="C26" s="246">
        <f>B26*'GWP N2O_CH4'!B5</f>
        <v>3991.1582870317347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65.410874163295517</v>
      </c>
      <c r="C27" s="246">
        <f>B27*'GWP N2O_CH4'!B5</f>
        <v>1373.6283574292058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5.8522690099997092</v>
      </c>
      <c r="C28" s="246">
        <f>B28*'GWP N2O_CH4'!B4</f>
        <v>1814.2033930999098</v>
      </c>
      <c r="D28" s="51"/>
    </row>
    <row r="29" spans="1:4">
      <c r="A29" s="42" t="s">
        <v>266</v>
      </c>
      <c r="B29" s="246">
        <f>B34*'ha_N2O bodem landbouw'!B4</f>
        <v>16.777739886295301</v>
      </c>
      <c r="C29" s="246">
        <f>B29*'GWP N2O_CH4'!B4</f>
        <v>5201.0993647515434</v>
      </c>
      <c r="D29" s="51"/>
    </row>
    <row r="31" spans="1:4">
      <c r="A31" s="193" t="s">
        <v>495</v>
      </c>
      <c r="B31" s="203"/>
      <c r="C31" s="225"/>
    </row>
    <row r="32" spans="1:4">
      <c r="A32" s="235"/>
      <c r="B32" s="33"/>
      <c r="C32" s="236"/>
    </row>
    <row r="33" spans="1:5">
      <c r="A33" s="237"/>
      <c r="B33" s="224" t="s">
        <v>603</v>
      </c>
      <c r="C33" s="238" t="s">
        <v>175</v>
      </c>
    </row>
    <row r="34" spans="1:5">
      <c r="A34" s="256" t="s">
        <v>105</v>
      </c>
      <c r="B34" s="36">
        <f>IF(ISERROR(aantalCultuurgronden/'ha_N2O bodem landbouw'!B5),0,aantalCultuurgronden/'ha_N2O bodem landbouw'!B5)</f>
        <v>4.5294616015711664E-3</v>
      </c>
      <c r="C34" s="257" t="s">
        <v>602</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9.5087335222734953E-5</v>
      </c>
      <c r="C5" s="433" t="s">
        <v>204</v>
      </c>
      <c r="D5" s="418">
        <f>SUM(D6:D11)</f>
        <v>1.1572457415732766E-4</v>
      </c>
      <c r="E5" s="418">
        <f>SUM(E6:E11)</f>
        <v>7.918222992019535E-3</v>
      </c>
      <c r="F5" s="431" t="s">
        <v>204</v>
      </c>
      <c r="G5" s="418">
        <f>SUM(G6:G11)</f>
        <v>1.6490710264798025</v>
      </c>
      <c r="H5" s="418">
        <f>SUM(H6:H11)</f>
        <v>0.30009513851884578</v>
      </c>
      <c r="I5" s="433" t="s">
        <v>204</v>
      </c>
      <c r="J5" s="433" t="s">
        <v>204</v>
      </c>
      <c r="K5" s="433" t="s">
        <v>204</v>
      </c>
      <c r="L5" s="433" t="s">
        <v>204</v>
      </c>
      <c r="M5" s="418">
        <f>SUM(M6:M11)</f>
        <v>8.7122507101212068E-2</v>
      </c>
      <c r="N5" s="433" t="s">
        <v>204</v>
      </c>
      <c r="O5" s="433" t="s">
        <v>204</v>
      </c>
      <c r="P5" s="434" t="s">
        <v>204</v>
      </c>
    </row>
    <row r="6" spans="1:18">
      <c r="A6" s="261" t="s">
        <v>719</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4.8351528590185557E-5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5.6078977001212734E-5</v>
      </c>
      <c r="E6" s="421">
        <f>vkm_GW_PW*SUMIFS(TableVerdeelsleutelVkm[LPG],TableVerdeelsleutelVkm[Voertuigtype],"Lichte voertuigen")*SUMIFS(TableECFTransport[EnergieConsumptieFactor (PJ per km)],TableECFTransport[Index],CONCATENATE($A6,"_LPG_LPG"))</f>
        <v>3.6297860870280734E-3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0.57231470611653357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0.14471738314298707</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3.2094404247506862E-2</v>
      </c>
      <c r="N6" s="419"/>
      <c r="O6" s="419"/>
      <c r="P6" s="420"/>
    </row>
    <row r="7" spans="1:18">
      <c r="A7" s="261" t="s">
        <v>720</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1.3839922719093062E-6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0.22894128363828939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7.134947686117262E-6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1.0187185696564223E-2</v>
      </c>
      <c r="N7" s="419"/>
      <c r="O7" s="419"/>
      <c r="P7" s="420"/>
    </row>
    <row r="8" spans="1:18">
      <c r="A8" s="261" t="s">
        <v>721</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1.3772565194164548E-5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2.6033846078531983E-5</v>
      </c>
      <c r="E8" s="421">
        <f>vkm_NGW_PW*SUMIFS(TableVerdeelsleutelVkm[LPG],TableVerdeelsleutelVkm[Voertuigtype],"Lichte voertuigen")*SUMIFS(TableECFTransport[EnergieConsumptieFactor (PJ per km)],TableECFTransport[Index],CONCATENATE($A8,"_LPG_LPG"))</f>
        <v>1.5925205487150624E-3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0.23742116990871448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6.3943018805542165E-2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1.3493169892203767E-2</v>
      </c>
      <c r="N8" s="419"/>
      <c r="O8" s="419"/>
      <c r="P8" s="420"/>
    </row>
    <row r="9" spans="1:18">
      <c r="A9" s="261" t="s">
        <v>722</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1.3951394193475636E-8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2.9594641471437245E-3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8.6814283276541348E-8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1.3168683925830502E-4</v>
      </c>
      <c r="N9" s="419"/>
      <c r="O9" s="419"/>
      <c r="P9" s="420"/>
    </row>
    <row r="10" spans="1:18">
      <c r="A10" s="261" t="s">
        <v>723</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3.0178428489825027E-5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3.3611751077582934E-5</v>
      </c>
      <c r="E10" s="421">
        <f>vkm_SW_PW*SUMIFS(TableVerdeelsleutelVkm[LPG],TableVerdeelsleutelVkm[Voertuigtype],"Lichte voertuigen")*SUMIFS(TableECFTransport[EnergieConsumptieFactor (PJ per km)],TableECFTransport[Index],CONCATENATE($A10,"_LPG_LPG"))</f>
        <v>2.695916356276399E-3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0.39253563596251939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9.1420155735591258E-2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2.1653693396643629E-2</v>
      </c>
      <c r="N10" s="419"/>
      <c r="O10" s="419"/>
      <c r="P10" s="420"/>
    </row>
    <row r="11" spans="1:18">
      <c r="A11" s="4" t="s">
        <v>724</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1.3868692824570479E-6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0.21489876670660207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7.3590727558847098E-6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9.5623670290352781E-3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26.413148672981933</v>
      </c>
      <c r="C14" s="22"/>
      <c r="D14" s="22">
        <f t="shared" ref="D14:M14" si="0">((D5)*10^9/3600)+D12</f>
        <v>32.145715043702126</v>
      </c>
      <c r="E14" s="22">
        <f t="shared" si="0"/>
        <v>2199.506386672093</v>
      </c>
      <c r="F14" s="22"/>
      <c r="G14" s="22">
        <f t="shared" si="0"/>
        <v>458075.28513327852</v>
      </c>
      <c r="H14" s="22">
        <f t="shared" si="0"/>
        <v>83359.760699679391</v>
      </c>
      <c r="I14" s="22"/>
      <c r="J14" s="22"/>
      <c r="K14" s="22"/>
      <c r="L14" s="22"/>
      <c r="M14" s="22">
        <f t="shared" si="0"/>
        <v>24200.696417003353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0.2025936153876903</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5.3511352834319839</v>
      </c>
      <c r="C18" s="24"/>
      <c r="D18" s="24">
        <f t="shared" ref="D18:M18" si="1">D14*D16</f>
        <v>6.4934344388278298</v>
      </c>
      <c r="E18" s="24">
        <f t="shared" si="1"/>
        <v>499.28794977456511</v>
      </c>
      <c r="F18" s="24"/>
      <c r="G18" s="24">
        <f t="shared" si="1"/>
        <v>122306.10113058538</v>
      </c>
      <c r="H18" s="24">
        <f t="shared" si="1"/>
        <v>20756.580414220167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729</v>
      </c>
      <c r="D23" s="856" t="s">
        <v>730</v>
      </c>
      <c r="E23" s="856" t="s">
        <v>731</v>
      </c>
      <c r="F23" s="856" t="s">
        <v>688</v>
      </c>
      <c r="G23" s="856" t="s">
        <v>732</v>
      </c>
      <c r="H23" s="856" t="s">
        <v>733</v>
      </c>
      <c r="I23" s="856" t="s">
        <v>112</v>
      </c>
      <c r="J23" s="856" t="s">
        <v>734</v>
      </c>
      <c r="K23" s="856" t="s">
        <v>735</v>
      </c>
      <c r="L23" s="857" t="s">
        <v>736</v>
      </c>
      <c r="M23" s="130" t="s">
        <v>175</v>
      </c>
      <c r="N23" s="267" t="s">
        <v>305</v>
      </c>
    </row>
    <row r="24" spans="1:18">
      <c r="A24" s="33" t="s">
        <v>725</v>
      </c>
      <c r="B24" s="1010">
        <v>6.33583579741309E-5</v>
      </c>
      <c r="C24" s="1010">
        <v>0.7954453963011765</v>
      </c>
      <c r="D24" s="1010" t="s">
        <v>936</v>
      </c>
      <c r="E24" s="1010">
        <v>8.2268218439991616E-7</v>
      </c>
      <c r="F24" s="1010"/>
      <c r="G24" s="1010">
        <v>1.9557604420178119E-4</v>
      </c>
      <c r="H24" s="1010" t="s">
        <v>936</v>
      </c>
      <c r="I24" s="1010">
        <v>4.6492267261280737E-3</v>
      </c>
      <c r="J24" s="1010">
        <v>0.19793436627861516</v>
      </c>
      <c r="K24" s="1010">
        <v>1.6891905278286837E-3</v>
      </c>
      <c r="L24" s="1010">
        <v>2.2063081891244262E-5</v>
      </c>
      <c r="M24" s="1003" t="s">
        <v>930</v>
      </c>
      <c r="N24" s="842">
        <f>SUM(B24:L24)</f>
        <v>0.99999999999999989</v>
      </c>
    </row>
    <row r="25" spans="1:18">
      <c r="A25" s="33" t="s">
        <v>726</v>
      </c>
      <c r="B25" s="1010" t="s">
        <v>936</v>
      </c>
      <c r="C25" s="1010">
        <v>0.99993719311410412</v>
      </c>
      <c r="D25" s="1010" t="s">
        <v>936</v>
      </c>
      <c r="E25" s="1010" t="s">
        <v>936</v>
      </c>
      <c r="F25" s="1010"/>
      <c r="G25" s="1010">
        <v>1.3112617186036559E-5</v>
      </c>
      <c r="H25" s="1010" t="s">
        <v>936</v>
      </c>
      <c r="I25" s="1010" t="s">
        <v>936</v>
      </c>
      <c r="J25" s="1010">
        <v>4.9694268709822807E-5</v>
      </c>
      <c r="K25" s="1010" t="s">
        <v>936</v>
      </c>
      <c r="L25" s="1010" t="s">
        <v>936</v>
      </c>
      <c r="M25" s="1003" t="s">
        <v>930</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908</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3.2893989988970457E-4</v>
      </c>
      <c r="C50" s="316">
        <f t="shared" ref="C50:P50" si="2">SUM(C51:C52)</f>
        <v>0</v>
      </c>
      <c r="D50" s="316">
        <f t="shared" si="2"/>
        <v>0</v>
      </c>
      <c r="E50" s="316">
        <f t="shared" si="2"/>
        <v>0</v>
      </c>
      <c r="F50" s="316">
        <f t="shared" si="2"/>
        <v>0</v>
      </c>
      <c r="G50" s="316">
        <f t="shared" si="2"/>
        <v>6.5607713376708357E-2</v>
      </c>
      <c r="H50" s="316">
        <f t="shared" si="2"/>
        <v>0</v>
      </c>
      <c r="I50" s="316">
        <f t="shared" si="2"/>
        <v>0</v>
      </c>
      <c r="J50" s="316">
        <f t="shared" si="2"/>
        <v>0</v>
      </c>
      <c r="K50" s="316">
        <f t="shared" si="2"/>
        <v>0</v>
      </c>
      <c r="L50" s="316">
        <f t="shared" si="2"/>
        <v>0</v>
      </c>
      <c r="M50" s="316">
        <f t="shared" si="2"/>
        <v>2.8997910562195183E-3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3.2893989988970457E-4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6.5607713376708357E-2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2.8997910562195183E-3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91.372194413806838</v>
      </c>
      <c r="C54" s="22">
        <f t="shared" ref="C54:P54" si="3">(C50)*10^9/3600</f>
        <v>0</v>
      </c>
      <c r="D54" s="22">
        <f t="shared" si="3"/>
        <v>0</v>
      </c>
      <c r="E54" s="22">
        <f t="shared" si="3"/>
        <v>0</v>
      </c>
      <c r="F54" s="22">
        <f t="shared" si="3"/>
        <v>0</v>
      </c>
      <c r="G54" s="22">
        <f t="shared" si="3"/>
        <v>18224.364826863432</v>
      </c>
      <c r="H54" s="22">
        <f t="shared" si="3"/>
        <v>0</v>
      </c>
      <c r="I54" s="22">
        <f t="shared" si="3"/>
        <v>0</v>
      </c>
      <c r="J54" s="22">
        <f t="shared" si="3"/>
        <v>0</v>
      </c>
      <c r="K54" s="22">
        <f t="shared" si="3"/>
        <v>0</v>
      </c>
      <c r="L54" s="22">
        <f t="shared" si="3"/>
        <v>0</v>
      </c>
      <c r="M54" s="22">
        <f t="shared" si="3"/>
        <v>805.49751561653284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0.2025936153876903</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18.511423212200047</v>
      </c>
      <c r="C58" s="24">
        <f t="shared" ref="C58:P58" ca="1" si="4">C54*C56</f>
        <v>0</v>
      </c>
      <c r="D58" s="24">
        <f t="shared" si="4"/>
        <v>0</v>
      </c>
      <c r="E58" s="24">
        <f t="shared" si="4"/>
        <v>0</v>
      </c>
      <c r="F58" s="24">
        <f t="shared" si="4"/>
        <v>0</v>
      </c>
      <c r="G58" s="24">
        <f t="shared" si="4"/>
        <v>4865.9054087725362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560</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893</v>
      </c>
      <c r="B65" s="1009">
        <v>2.1600000000000001E-2</v>
      </c>
      <c r="C65" s="174" t="s">
        <v>767</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561</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844</v>
      </c>
      <c r="N2" s="1208" t="s">
        <v>845</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14237.021407305889</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19698.922569540566</v>
      </c>
      <c r="C6" s="1211"/>
      <c r="D6" s="1214"/>
      <c r="E6" s="1214"/>
      <c r="F6" s="1217"/>
      <c r="G6" s="1220"/>
      <c r="H6" s="1223"/>
      <c r="I6" s="1214"/>
      <c r="J6" s="1214"/>
      <c r="K6" s="1214"/>
      <c r="L6" s="1214"/>
      <c r="M6" s="1214"/>
      <c r="N6" s="929"/>
      <c r="O6" s="541"/>
      <c r="P6" s="1206"/>
      <c r="Q6" s="1207"/>
      <c r="S6" s="968"/>
      <c r="T6" s="1227"/>
      <c r="U6" s="1227"/>
    </row>
    <row r="7" spans="1:21" s="532" customFormat="1">
      <c r="A7" s="540" t="s">
        <v>846</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2226.15</v>
      </c>
      <c r="C8" s="544">
        <f>B51</f>
        <v>2619.0000000000005</v>
      </c>
      <c r="D8" s="931"/>
      <c r="E8" s="931">
        <f>E51</f>
        <v>0</v>
      </c>
      <c r="F8" s="932"/>
      <c r="G8" s="545"/>
      <c r="H8" s="931">
        <f>I51</f>
        <v>0</v>
      </c>
      <c r="I8" s="931">
        <f>G51+F51</f>
        <v>0</v>
      </c>
      <c r="J8" s="931">
        <f>H51+D51+C51</f>
        <v>0</v>
      </c>
      <c r="K8" s="931"/>
      <c r="L8" s="931"/>
      <c r="M8" s="931"/>
      <c r="N8" s="546"/>
      <c r="O8" s="547">
        <f>C8*$C$12+D8*$D$12+E8*$E$12+F8*$F$12+G8*$G$12+H8*$H$12+I8*$I$12+J8*$J$12</f>
        <v>529.03800000000012</v>
      </c>
      <c r="P8" s="1206"/>
      <c r="Q8" s="1207"/>
      <c r="S8" s="968"/>
      <c r="T8" s="1227"/>
      <c r="U8" s="1227"/>
    </row>
    <row r="9" spans="1:21" s="532" customFormat="1" ht="17.45" customHeight="1" thickBot="1">
      <c r="A9" s="548" t="s">
        <v>237</v>
      </c>
      <c r="B9" s="933">
        <f>N39+'Eigen informatie GS &amp; warmtenet'!B12</f>
        <v>1237.5</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3535.7142857142858</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37399.593976846452</v>
      </c>
      <c r="C10" s="556">
        <f t="shared" ref="C10:L10" si="0">SUM(C8:C9)</f>
        <v>2619.0000000000005</v>
      </c>
      <c r="D10" s="556">
        <f t="shared" si="0"/>
        <v>0</v>
      </c>
      <c r="E10" s="556">
        <f t="shared" si="0"/>
        <v>0</v>
      </c>
      <c r="F10" s="556">
        <f t="shared" si="0"/>
        <v>0</v>
      </c>
      <c r="G10" s="556">
        <f t="shared" si="0"/>
        <v>0</v>
      </c>
      <c r="H10" s="556">
        <f t="shared" si="0"/>
        <v>0</v>
      </c>
      <c r="I10" s="556">
        <f t="shared" si="0"/>
        <v>0</v>
      </c>
      <c r="J10" s="556">
        <f t="shared" si="0"/>
        <v>3535.7142857142858</v>
      </c>
      <c r="K10" s="556">
        <f t="shared" si="0"/>
        <v>0</v>
      </c>
      <c r="L10" s="556">
        <f t="shared" si="0"/>
        <v>0</v>
      </c>
      <c r="M10" s="935"/>
      <c r="N10" s="935"/>
      <c r="O10" s="557">
        <f>SUM(O4:O9)</f>
        <v>529.03800000000012</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844</v>
      </c>
      <c r="N15" s="1208" t="s">
        <v>845</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3180.2142857142858</v>
      </c>
      <c r="C17" s="568">
        <f>B52</f>
        <v>3741.428571428572</v>
      </c>
      <c r="D17" s="569"/>
      <c r="E17" s="569">
        <f>E52</f>
        <v>0</v>
      </c>
      <c r="F17" s="570"/>
      <c r="G17" s="571"/>
      <c r="H17" s="568">
        <f>I52</f>
        <v>0</v>
      </c>
      <c r="I17" s="569">
        <f>G52+F52</f>
        <v>0</v>
      </c>
      <c r="J17" s="569">
        <f>H52+D52+C52</f>
        <v>0</v>
      </c>
      <c r="K17" s="569"/>
      <c r="L17" s="569"/>
      <c r="M17" s="569"/>
      <c r="N17" s="938"/>
      <c r="O17" s="572">
        <f>C17*$C$22+E17*$E$22+H17*$H$22+I17*$I$22+J17*$J$22+D17*$D$22+F17*$F$22+G17*$G$22+K17*$K$22+L17*$L$22</f>
        <v>755.76857142857159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3180.2142857142858</v>
      </c>
      <c r="C20" s="555">
        <f>SUM(C17:C19)</f>
        <v>3741.428571428572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755.76857142857159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71022</v>
      </c>
      <c r="C28" s="740">
        <v>3500</v>
      </c>
      <c r="D28" s="628"/>
      <c r="E28" s="627"/>
      <c r="F28" s="627"/>
      <c r="G28" s="627" t="s">
        <v>942</v>
      </c>
      <c r="H28" s="627" t="s">
        <v>943</v>
      </c>
      <c r="I28" s="627"/>
      <c r="J28" s="739"/>
      <c r="K28" s="739"/>
      <c r="L28" s="627" t="s">
        <v>944</v>
      </c>
      <c r="M28" s="627">
        <v>4.7</v>
      </c>
      <c r="N28" s="627">
        <v>21.150000000000002</v>
      </c>
      <c r="O28" s="627">
        <v>30.214285714285719</v>
      </c>
      <c r="P28" s="627">
        <v>60.428571428571438</v>
      </c>
      <c r="Q28" s="627">
        <v>0</v>
      </c>
      <c r="R28" s="627">
        <v>0</v>
      </c>
      <c r="S28" s="627">
        <v>0</v>
      </c>
      <c r="T28" s="627">
        <v>0</v>
      </c>
      <c r="U28" s="627">
        <v>0</v>
      </c>
      <c r="V28" s="627">
        <v>0</v>
      </c>
      <c r="W28" s="627"/>
      <c r="X28" s="627"/>
      <c r="Y28" s="627">
        <v>1600</v>
      </c>
      <c r="Z28" s="627" t="s">
        <v>49</v>
      </c>
      <c r="AA28" s="629" t="s">
        <v>149</v>
      </c>
    </row>
    <row r="29" spans="1:27" s="581" customFormat="1" ht="51" hidden="1">
      <c r="A29" s="580"/>
      <c r="B29" s="740">
        <v>71022</v>
      </c>
      <c r="C29" s="740">
        <v>3500</v>
      </c>
      <c r="D29" s="628"/>
      <c r="E29" s="627"/>
      <c r="F29" s="627"/>
      <c r="G29" s="627" t="s">
        <v>942</v>
      </c>
      <c r="H29" s="627" t="s">
        <v>943</v>
      </c>
      <c r="I29" s="627"/>
      <c r="J29" s="739"/>
      <c r="K29" s="739"/>
      <c r="L29" s="627" t="s">
        <v>944</v>
      </c>
      <c r="M29" s="627">
        <v>220</v>
      </c>
      <c r="N29" s="627">
        <v>990</v>
      </c>
      <c r="O29" s="627">
        <v>1414.2857142857142</v>
      </c>
      <c r="P29" s="627">
        <v>2828.5714285714289</v>
      </c>
      <c r="Q29" s="627">
        <v>0</v>
      </c>
      <c r="R29" s="627">
        <v>0</v>
      </c>
      <c r="S29" s="627">
        <v>0</v>
      </c>
      <c r="T29" s="627">
        <v>0</v>
      </c>
      <c r="U29" s="627">
        <v>0</v>
      </c>
      <c r="V29" s="627">
        <v>0</v>
      </c>
      <c r="W29" s="627"/>
      <c r="X29" s="627"/>
      <c r="Y29" s="627">
        <v>1500</v>
      </c>
      <c r="Z29" s="627" t="s">
        <v>50</v>
      </c>
      <c r="AA29" s="629" t="s">
        <v>149</v>
      </c>
    </row>
    <row r="30" spans="1:27" s="581" customFormat="1" ht="25.5" hidden="1">
      <c r="A30" s="580"/>
      <c r="B30" s="740">
        <v>71022</v>
      </c>
      <c r="C30" s="740">
        <v>3511</v>
      </c>
      <c r="D30" s="628"/>
      <c r="E30" s="627"/>
      <c r="F30" s="627"/>
      <c r="G30" s="627" t="s">
        <v>942</v>
      </c>
      <c r="H30" s="627" t="s">
        <v>943</v>
      </c>
      <c r="I30" s="627"/>
      <c r="J30" s="739"/>
      <c r="K30" s="739"/>
      <c r="L30" s="627" t="s">
        <v>944</v>
      </c>
      <c r="M30" s="627">
        <v>50</v>
      </c>
      <c r="N30" s="627">
        <v>225</v>
      </c>
      <c r="O30" s="627">
        <v>321.42857142857144</v>
      </c>
      <c r="P30" s="627">
        <v>642.85714285714289</v>
      </c>
      <c r="Q30" s="627">
        <v>0</v>
      </c>
      <c r="R30" s="627">
        <v>0</v>
      </c>
      <c r="S30" s="627">
        <v>0</v>
      </c>
      <c r="T30" s="627">
        <v>0</v>
      </c>
      <c r="U30" s="627">
        <v>0</v>
      </c>
      <c r="V30" s="627">
        <v>0</v>
      </c>
      <c r="W30" s="627"/>
      <c r="X30" s="627"/>
      <c r="Y30" s="627">
        <v>800</v>
      </c>
      <c r="Z30" s="627" t="s">
        <v>35</v>
      </c>
      <c r="AA30" s="629" t="s">
        <v>378</v>
      </c>
    </row>
    <row r="31" spans="1:27" s="581" customFormat="1" ht="51" hidden="1">
      <c r="A31" s="580"/>
      <c r="B31" s="740">
        <v>71022</v>
      </c>
      <c r="C31" s="740">
        <v>3500</v>
      </c>
      <c r="D31" s="628"/>
      <c r="E31" s="627"/>
      <c r="F31" s="627"/>
      <c r="G31" s="627" t="s">
        <v>942</v>
      </c>
      <c r="H31" s="627" t="s">
        <v>943</v>
      </c>
      <c r="I31" s="627"/>
      <c r="J31" s="739"/>
      <c r="K31" s="739"/>
      <c r="L31" s="627" t="s">
        <v>944</v>
      </c>
      <c r="M31" s="627">
        <v>220</v>
      </c>
      <c r="N31" s="627">
        <v>990</v>
      </c>
      <c r="O31" s="627">
        <v>1414.2857142857142</v>
      </c>
      <c r="P31" s="627">
        <v>2828.5714285714289</v>
      </c>
      <c r="Q31" s="627">
        <v>0</v>
      </c>
      <c r="R31" s="627">
        <v>0</v>
      </c>
      <c r="S31" s="627">
        <v>0</v>
      </c>
      <c r="T31" s="627">
        <v>0</v>
      </c>
      <c r="U31" s="627">
        <v>0</v>
      </c>
      <c r="V31" s="627">
        <v>0</v>
      </c>
      <c r="W31" s="627"/>
      <c r="X31" s="627"/>
      <c r="Y31" s="627">
        <v>1500</v>
      </c>
      <c r="Z31" s="627" t="s">
        <v>50</v>
      </c>
      <c r="AA31" s="629" t="s">
        <v>149</v>
      </c>
    </row>
    <row r="32" spans="1:27" s="563" customFormat="1" hidden="1">
      <c r="A32" s="583" t="s">
        <v>269</v>
      </c>
      <c r="B32" s="584"/>
      <c r="C32" s="584"/>
      <c r="D32" s="584"/>
      <c r="E32" s="584"/>
      <c r="F32" s="584"/>
      <c r="G32" s="584"/>
      <c r="H32" s="584"/>
      <c r="I32" s="584"/>
      <c r="J32" s="584"/>
      <c r="K32" s="584"/>
      <c r="L32" s="585"/>
      <c r="M32" s="585">
        <f>SUM(M28:M31)</f>
        <v>494.7</v>
      </c>
      <c r="N32" s="585">
        <f>SUM(N28:N31)</f>
        <v>2226.15</v>
      </c>
      <c r="O32" s="585">
        <f>SUM(O28:O31)</f>
        <v>3180.2142857142858</v>
      </c>
      <c r="P32" s="585">
        <f>SUM(P28:P31)</f>
        <v>6360.4285714285725</v>
      </c>
      <c r="Q32" s="585">
        <f>SUM(Q28:Q31)</f>
        <v>0</v>
      </c>
      <c r="R32" s="585">
        <f>SUM(R28:R31)</f>
        <v>0</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50</v>
      </c>
      <c r="N33" s="585">
        <f>SUMIF($AA$28:$AA$31,"industrie",N28:N31)</f>
        <v>225</v>
      </c>
      <c r="O33" s="585">
        <f>SUMIF($AA$28:$AA$31,"industrie",O28:O31)</f>
        <v>321.42857142857144</v>
      </c>
      <c r="P33" s="585">
        <f>SUMIF($AA$28:$AA$31,"industrie",P28:P31)</f>
        <v>642.85714285714289</v>
      </c>
      <c r="Q33" s="585">
        <f>SUMIF($AA$28:$AA$31,"industrie",Q28:Q31)</f>
        <v>0</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444.7</v>
      </c>
      <c r="N34" s="585">
        <f ca="1">SUMIF($AA$28:AE31,"tertiair",N28:N31)</f>
        <v>2001.15</v>
      </c>
      <c r="O34" s="585">
        <f ca="1">SUMIF($AA$28:AF31,"tertiair",O28:O31)</f>
        <v>2858.7857142857142</v>
      </c>
      <c r="P34" s="585">
        <f ca="1">SUMIF($AA$28:AG31,"tertiair",P28:P31)</f>
        <v>5717.5714285714294</v>
      </c>
      <c r="Q34" s="585">
        <f ca="1">SUMIF($AA$28:AH31,"tertiair",Q28:Q31)</f>
        <v>0</v>
      </c>
      <c r="R34" s="585">
        <f ca="1">SUMIF($AA$28:AI31,"tertiair",R28:R31)</f>
        <v>0</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0</v>
      </c>
      <c r="N35" s="590">
        <f>SUMIF($AA$28:$AA$31,"landbouw",N28:N31)</f>
        <v>0</v>
      </c>
      <c r="O35" s="590">
        <f>SUMIF($AA$28:$AA$31,"landbouw",O28:O31)</f>
        <v>0</v>
      </c>
      <c r="P35" s="590">
        <f>SUMIF($AA$28:$AA$31,"landbouw",P28:P31)</f>
        <v>0</v>
      </c>
      <c r="Q35" s="590">
        <f>SUMIF($AA$28:$AA$31,"landbouw",Q28:Q31)</f>
        <v>0</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63.75" hidden="1">
      <c r="A38" s="582"/>
      <c r="B38" s="740">
        <v>71022</v>
      </c>
      <c r="C38" s="740">
        <v>3511</v>
      </c>
      <c r="D38" s="630"/>
      <c r="E38" s="630"/>
      <c r="F38" s="630"/>
      <c r="G38" s="630" t="s">
        <v>945</v>
      </c>
      <c r="H38" s="630" t="s">
        <v>946</v>
      </c>
      <c r="I38" s="630"/>
      <c r="J38" s="739"/>
      <c r="K38" s="739"/>
      <c r="L38" s="630" t="s">
        <v>944</v>
      </c>
      <c r="M38" s="630">
        <v>275</v>
      </c>
      <c r="N38" s="630">
        <v>1237.5</v>
      </c>
      <c r="O38" s="630">
        <v>0</v>
      </c>
      <c r="P38" s="630">
        <v>0</v>
      </c>
      <c r="Q38" s="630">
        <v>3535.7142857142858</v>
      </c>
      <c r="R38" s="630">
        <v>0</v>
      </c>
      <c r="S38" s="630">
        <v>0</v>
      </c>
      <c r="T38" s="630">
        <v>0</v>
      </c>
      <c r="U38" s="630">
        <v>0</v>
      </c>
      <c r="V38" s="630">
        <v>0</v>
      </c>
      <c r="W38" s="630"/>
      <c r="X38" s="630"/>
      <c r="Y38" s="630">
        <v>1600</v>
      </c>
      <c r="Z38" s="630" t="s">
        <v>49</v>
      </c>
      <c r="AA38" s="631" t="s">
        <v>149</v>
      </c>
    </row>
    <row r="39" spans="1:28" s="563" customFormat="1" hidden="1">
      <c r="A39" s="583" t="s">
        <v>269</v>
      </c>
      <c r="B39" s="584"/>
      <c r="C39" s="584"/>
      <c r="D39" s="584"/>
      <c r="E39" s="584"/>
      <c r="F39" s="584"/>
      <c r="G39" s="584"/>
      <c r="H39" s="584"/>
      <c r="I39" s="584"/>
      <c r="J39" s="584"/>
      <c r="K39" s="584"/>
      <c r="L39" s="585"/>
      <c r="M39" s="585">
        <f>SUM(M38:M38)</f>
        <v>275</v>
      </c>
      <c r="N39" s="585">
        <f>SUM(N38:N38)</f>
        <v>1237.5</v>
      </c>
      <c r="O39" s="585">
        <f>SUM(O38:O38)</f>
        <v>0</v>
      </c>
      <c r="P39" s="585">
        <f>SUM(P38:P38)</f>
        <v>0</v>
      </c>
      <c r="Q39" s="585">
        <f>SUM(Q38:Q38)</f>
        <v>3535.7142857142858</v>
      </c>
      <c r="R39" s="585">
        <f>SUM(R38:R38)</f>
        <v>0</v>
      </c>
      <c r="S39" s="585">
        <f>SUM(S38:S38)</f>
        <v>0</v>
      </c>
      <c r="T39" s="585">
        <f>SUM(T38:T38)</f>
        <v>0</v>
      </c>
      <c r="U39" s="585">
        <f>SUM(U38:U38)</f>
        <v>0</v>
      </c>
      <c r="V39" s="585">
        <f>SUM(V38:V38)</f>
        <v>0</v>
      </c>
      <c r="W39" s="585">
        <f>SUM(W38:W38)</f>
        <v>0</v>
      </c>
      <c r="X39" s="585"/>
      <c r="Y39" s="586"/>
      <c r="Z39" s="586"/>
      <c r="AA39" s="587"/>
    </row>
    <row r="40" spans="1:28" s="563" customFormat="1">
      <c r="A40" s="583" t="s">
        <v>276</v>
      </c>
      <c r="B40" s="584"/>
      <c r="C40" s="584"/>
      <c r="D40" s="584"/>
      <c r="E40" s="584"/>
      <c r="F40" s="584"/>
      <c r="G40" s="584"/>
      <c r="H40" s="584"/>
      <c r="I40" s="584"/>
      <c r="J40" s="584"/>
      <c r="K40" s="584"/>
      <c r="L40" s="585"/>
      <c r="M40" s="585">
        <f>SUMIF($AA$38:$AA$38,"industrie",M38:M38)</f>
        <v>0</v>
      </c>
      <c r="N40" s="585">
        <f>SUMIF($AA$38:$AA$38,"industrie",N38:N38)</f>
        <v>0</v>
      </c>
      <c r="O40" s="585">
        <f>SUMIF($AA$38:$AA$38,"industrie",O38:O38)</f>
        <v>0</v>
      </c>
      <c r="P40" s="585">
        <f>SUMIF($AA$38:$AA$38,"industrie",P38:P38)</f>
        <v>0</v>
      </c>
      <c r="Q40" s="585">
        <f>SUMIF($AA$38:$AA$38,"industrie",Q38:Q38)</f>
        <v>0</v>
      </c>
      <c r="R40" s="585">
        <f>SUMIF($AA$38:$AA$38,"industrie",R38:R38)</f>
        <v>0</v>
      </c>
      <c r="S40" s="585">
        <f>SUMIF($AA$38:$AA$38,"industrie",S38:S38)</f>
        <v>0</v>
      </c>
      <c r="T40" s="585">
        <f>SUMIF($AA$38:$AA$38,"industrie",T38:T38)</f>
        <v>0</v>
      </c>
      <c r="U40" s="585">
        <f>SUMIF($AA$38:$AA$38,"industrie",U38:U38)</f>
        <v>0</v>
      </c>
      <c r="V40" s="585">
        <f>SUMIF($AA$38:$AA$38,"industrie",V38:V38)</f>
        <v>0</v>
      </c>
      <c r="W40" s="585">
        <f>SUMIF($AA$38:$AA$38,"industrie",W38:W38)</f>
        <v>0</v>
      </c>
      <c r="X40" s="585"/>
      <c r="Y40" s="586"/>
      <c r="Z40" s="586"/>
      <c r="AA40" s="587"/>
    </row>
    <row r="41" spans="1:28" s="563" customFormat="1">
      <c r="A41" s="583" t="s">
        <v>277</v>
      </c>
      <c r="B41" s="584"/>
      <c r="C41" s="584"/>
      <c r="D41" s="584"/>
      <c r="E41" s="584"/>
      <c r="F41" s="584"/>
      <c r="G41" s="584"/>
      <c r="H41" s="584"/>
      <c r="I41" s="584"/>
      <c r="J41" s="584"/>
      <c r="K41" s="584"/>
      <c r="L41" s="585"/>
      <c r="M41" s="585">
        <f>SUMIF($AA$38:$AA$39,"tertiair",M38:M39)</f>
        <v>275</v>
      </c>
      <c r="N41" s="585">
        <f>SUMIF($AA$38:$AA$39,"tertiair",N38:N39)</f>
        <v>1237.5</v>
      </c>
      <c r="O41" s="585">
        <f>SUMIF($AA$38:$AA$39,"tertiair",O38:O39)</f>
        <v>0</v>
      </c>
      <c r="P41" s="585">
        <f>SUMIF($AA$38:$AA$39,"tertiair",P38:P39)</f>
        <v>0</v>
      </c>
      <c r="Q41" s="585">
        <f>SUMIF($AA$38:$AA$39,"tertiair",Q38:Q39)</f>
        <v>3535.7142857142858</v>
      </c>
      <c r="R41" s="585">
        <f>SUMIF($AA$38:$AA$39,"tertiair",R38:R39)</f>
        <v>0</v>
      </c>
      <c r="S41" s="585">
        <f>SUMIF($AA$38:$AA$39,"tertiair",S38:S39)</f>
        <v>0</v>
      </c>
      <c r="T41" s="585">
        <f>SUMIF($AA$38:$AA$39,"tertiair",T38:T39)</f>
        <v>0</v>
      </c>
      <c r="U41" s="585">
        <f>SUMIF($AA$38:$AA$39,"tertiair",U38:U39)</f>
        <v>0</v>
      </c>
      <c r="V41" s="585">
        <f>SUMIF($AA$38:$AA$39,"tertiair",V38:V39)</f>
        <v>0</v>
      </c>
      <c r="W41" s="585">
        <f>SUMIF($AA$38:$AA$39,"tertiair",W38:W39)</f>
        <v>0</v>
      </c>
      <c r="X41" s="585"/>
      <c r="Y41" s="586"/>
      <c r="Z41" s="586"/>
      <c r="AA41" s="587"/>
    </row>
    <row r="42" spans="1:28" s="563" customFormat="1" ht="15.75" thickBot="1">
      <c r="A42" s="588" t="s">
        <v>278</v>
      </c>
      <c r="B42" s="589"/>
      <c r="C42" s="589"/>
      <c r="D42" s="589"/>
      <c r="E42" s="589"/>
      <c r="F42" s="589"/>
      <c r="G42" s="589"/>
      <c r="H42" s="589"/>
      <c r="I42" s="589"/>
      <c r="J42" s="589"/>
      <c r="K42" s="589"/>
      <c r="L42" s="590"/>
      <c r="M42" s="590">
        <f>SUMIF($AA$38:$AA$40,"landbouw",M38:M40)</f>
        <v>0</v>
      </c>
      <c r="N42" s="590">
        <f>SUMIF($AA$38:$AA$40,"landbouw",N38:N40)</f>
        <v>0</v>
      </c>
      <c r="O42" s="590">
        <f>SUMIF($AA$38:$AA$40,"landbouw",O38:O40)</f>
        <v>0</v>
      </c>
      <c r="P42" s="590">
        <f>SUMIF($AA$38:$AA$40,"landbouw",P38:P40)</f>
        <v>0</v>
      </c>
      <c r="Q42" s="590">
        <f>SUMIF($AA$38:$AA$40,"landbouw",Q38:Q40)</f>
        <v>0</v>
      </c>
      <c r="R42" s="590">
        <f>SUMIF($AA$38:$AA$40,"landbouw",R38:R40)</f>
        <v>0</v>
      </c>
      <c r="S42" s="590">
        <f>SUMIF($AA$38:$AA$40,"landbouw",S38:S40)</f>
        <v>0</v>
      </c>
      <c r="T42" s="590">
        <f>SUMIF($AA$38:$AA$40,"landbouw",T38:T40)</f>
        <v>0</v>
      </c>
      <c r="U42" s="590">
        <f>SUMIF($AA$38:$AA$40,"landbouw",U38:U40)</f>
        <v>0</v>
      </c>
      <c r="V42" s="590">
        <f>SUMIF($AA$38:$AA$40,"landbouw",V38:V40)</f>
        <v>0</v>
      </c>
      <c r="W42" s="590">
        <f>SUMIF($AA$38:$AA$40,"landbouw",W38:W40)</f>
        <v>0</v>
      </c>
      <c r="X42" s="590"/>
      <c r="Y42" s="591"/>
      <c r="Z42" s="591"/>
      <c r="AA42" s="592"/>
    </row>
    <row r="43" spans="1:28" s="597" customForma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row>
    <row r="44" spans="1:28" s="597" customFormat="1" ht="15.75" thickBot="1">
      <c r="A44" s="593"/>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row>
    <row r="45" spans="1:28">
      <c r="A45" s="598" t="s">
        <v>271</v>
      </c>
      <c r="B45" s="599"/>
      <c r="C45" s="599"/>
      <c r="D45" s="599"/>
      <c r="E45" s="599"/>
      <c r="F45" s="599"/>
      <c r="G45" s="599"/>
      <c r="H45" s="599"/>
      <c r="I45" s="600"/>
      <c r="J45" s="601"/>
      <c r="K45" s="601"/>
      <c r="L45" s="602"/>
      <c r="M45" s="602"/>
      <c r="N45" s="602"/>
      <c r="O45" s="602"/>
      <c r="P45" s="602"/>
    </row>
    <row r="46" spans="1:28">
      <c r="A46" s="604"/>
      <c r="B46" s="594"/>
      <c r="C46" s="594"/>
      <c r="D46" s="594"/>
      <c r="E46" s="594"/>
      <c r="F46" s="594"/>
      <c r="G46" s="594"/>
      <c r="H46" s="594"/>
      <c r="I46" s="605"/>
      <c r="J46" s="594"/>
      <c r="K46" s="594"/>
      <c r="L46" s="602"/>
      <c r="M46" s="602"/>
      <c r="N46" s="602"/>
      <c r="O46" s="602"/>
      <c r="P46" s="602"/>
    </row>
    <row r="47" spans="1:28">
      <c r="A47" s="606"/>
      <c r="B47" s="607" t="s">
        <v>272</v>
      </c>
      <c r="C47" s="607" t="s">
        <v>273</v>
      </c>
      <c r="D47" s="607"/>
      <c r="E47" s="607"/>
      <c r="F47" s="607"/>
      <c r="G47" s="607"/>
      <c r="H47" s="607"/>
      <c r="I47" s="608"/>
      <c r="J47" s="607"/>
      <c r="K47" s="607"/>
      <c r="L47" s="607"/>
      <c r="M47" s="607"/>
      <c r="N47" s="607"/>
      <c r="O47" s="607"/>
      <c r="P47" s="602"/>
    </row>
    <row r="48" spans="1:28">
      <c r="A48" s="604" t="s">
        <v>269</v>
      </c>
      <c r="B48" s="609">
        <f>IF(ISERROR(O32/(O32+N32)),0,O32/(O32+N32))</f>
        <v>0.58823529411764708</v>
      </c>
      <c r="C48" s="610">
        <f>IF(ISERROR(N32/(O32+N32)),0,N32/(N32+O32))</f>
        <v>0.41176470588235292</v>
      </c>
      <c r="D48" s="577"/>
      <c r="E48" s="577"/>
      <c r="F48" s="577"/>
      <c r="G48" s="577"/>
      <c r="H48" s="577"/>
      <c r="I48" s="611"/>
      <c r="J48" s="577"/>
      <c r="K48" s="577"/>
      <c r="L48" s="612"/>
      <c r="M48" s="612"/>
      <c r="N48" s="612"/>
      <c r="O48" s="612"/>
      <c r="P48" s="602"/>
    </row>
    <row r="49" spans="1:16">
      <c r="A49" s="604"/>
      <c r="B49" s="613"/>
      <c r="C49" s="613"/>
      <c r="D49" s="613"/>
      <c r="E49" s="613"/>
      <c r="F49" s="613"/>
      <c r="G49" s="613"/>
      <c r="H49" s="613"/>
      <c r="I49" s="614"/>
      <c r="J49" s="613"/>
      <c r="K49" s="613"/>
      <c r="L49" s="615"/>
      <c r="M49" s="615"/>
      <c r="N49" s="615"/>
      <c r="O49" s="615"/>
      <c r="P49" s="602"/>
    </row>
    <row r="50" spans="1:16" ht="30">
      <c r="A50" s="616"/>
      <c r="B50" s="617" t="s">
        <v>533</v>
      </c>
      <c r="C50" s="617" t="s">
        <v>96</v>
      </c>
      <c r="D50" s="617" t="s">
        <v>97</v>
      </c>
      <c r="E50" s="617" t="s">
        <v>98</v>
      </c>
      <c r="F50" s="617" t="s">
        <v>99</v>
      </c>
      <c r="G50" s="617" t="s">
        <v>100</v>
      </c>
      <c r="H50" s="617" t="s">
        <v>101</v>
      </c>
      <c r="I50" s="618" t="s">
        <v>102</v>
      </c>
      <c r="J50" s="607"/>
      <c r="K50" s="607"/>
      <c r="L50" s="615"/>
      <c r="M50" s="615"/>
      <c r="N50" s="615"/>
      <c r="O50" s="602"/>
      <c r="P50" s="602"/>
    </row>
    <row r="51" spans="1:16">
      <c r="A51" s="606" t="s">
        <v>274</v>
      </c>
      <c r="B51" s="619">
        <f t="shared" ref="B51:I51" si="2">$C$48*P32</f>
        <v>2619.0000000000005</v>
      </c>
      <c r="C51" s="619">
        <f t="shared" si="2"/>
        <v>0</v>
      </c>
      <c r="D51" s="619">
        <f t="shared" si="2"/>
        <v>0</v>
      </c>
      <c r="E51" s="619">
        <f t="shared" si="2"/>
        <v>0</v>
      </c>
      <c r="F51" s="619">
        <f t="shared" si="2"/>
        <v>0</v>
      </c>
      <c r="G51" s="619">
        <f t="shared" si="2"/>
        <v>0</v>
      </c>
      <c r="H51" s="619">
        <f t="shared" si="2"/>
        <v>0</v>
      </c>
      <c r="I51" s="620">
        <f t="shared" si="2"/>
        <v>0</v>
      </c>
      <c r="J51" s="577"/>
      <c r="K51" s="577"/>
      <c r="L51" s="615"/>
      <c r="M51" s="615"/>
      <c r="N51" s="615"/>
      <c r="O51" s="602"/>
      <c r="P51" s="602"/>
    </row>
    <row r="52" spans="1:16" ht="15.75" thickBot="1">
      <c r="A52" s="621" t="s">
        <v>275</v>
      </c>
      <c r="B52" s="622">
        <f t="shared" ref="B52:I52" si="3">$B$48*P32</f>
        <v>3741.428571428572</v>
      </c>
      <c r="C52" s="622">
        <f t="shared" si="3"/>
        <v>0</v>
      </c>
      <c r="D52" s="622">
        <f t="shared" si="3"/>
        <v>0</v>
      </c>
      <c r="E52" s="622">
        <f t="shared" si="3"/>
        <v>0</v>
      </c>
      <c r="F52" s="622">
        <f t="shared" si="3"/>
        <v>0</v>
      </c>
      <c r="G52" s="622">
        <f t="shared" si="3"/>
        <v>0</v>
      </c>
      <c r="H52" s="622">
        <f t="shared" si="3"/>
        <v>0</v>
      </c>
      <c r="I52" s="623">
        <f t="shared" si="3"/>
        <v>0</v>
      </c>
      <c r="J52" s="577"/>
      <c r="K52" s="577"/>
      <c r="L52" s="615"/>
      <c r="M52" s="615"/>
      <c r="N52" s="615"/>
      <c r="O52" s="602"/>
      <c r="P52" s="602"/>
    </row>
    <row r="53" spans="1:16">
      <c r="J53" s="561"/>
      <c r="K53" s="561"/>
      <c r="L53" s="561"/>
      <c r="M53" s="561"/>
      <c r="N53" s="561"/>
    </row>
    <row r="54" spans="1:16">
      <c r="J54" s="561"/>
      <c r="K54" s="561"/>
      <c r="L54" s="561"/>
      <c r="M54" s="561"/>
      <c r="N54"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204779.101</v>
      </c>
      <c r="D10" s="639">
        <f ca="1">tertiair!C16</f>
        <v>2858.7857142857142</v>
      </c>
      <c r="E10" s="639">
        <f ca="1">tertiair!D16</f>
        <v>188138.77846742858</v>
      </c>
      <c r="F10" s="639">
        <f>tertiair!E16</f>
        <v>1563.7385695254441</v>
      </c>
      <c r="G10" s="639">
        <f ca="1">tertiair!F16</f>
        <v>39697.674242330919</v>
      </c>
      <c r="H10" s="639">
        <f>tertiair!G16</f>
        <v>0</v>
      </c>
      <c r="I10" s="639">
        <f>tertiair!H16</f>
        <v>0</v>
      </c>
      <c r="J10" s="639">
        <f>tertiair!I16</f>
        <v>0</v>
      </c>
      <c r="K10" s="639">
        <f>tertiair!J16</f>
        <v>0</v>
      </c>
      <c r="L10" s="639">
        <f>tertiair!K16</f>
        <v>0</v>
      </c>
      <c r="M10" s="639">
        <f ca="1">tertiair!L16</f>
        <v>0</v>
      </c>
      <c r="N10" s="639">
        <f>tertiair!M16</f>
        <v>0</v>
      </c>
      <c r="O10" s="639">
        <f ca="1">tertiair!N16</f>
        <v>5088.6824657758807</v>
      </c>
      <c r="P10" s="639">
        <f>tertiair!O16</f>
        <v>3.1266666666666669</v>
      </c>
      <c r="Q10" s="640">
        <f>tertiair!P16</f>
        <v>152.53333333333333</v>
      </c>
      <c r="R10" s="642">
        <f ca="1">SUM(C10:Q10)</f>
        <v>442282.42045934644</v>
      </c>
      <c r="S10" s="68"/>
    </row>
    <row r="11" spans="1:19" s="443" customFormat="1">
      <c r="A11" s="753" t="s">
        <v>214</v>
      </c>
      <c r="B11" s="758"/>
      <c r="C11" s="639">
        <f>huishoudens!B8</f>
        <v>137159.53237751211</v>
      </c>
      <c r="D11" s="639">
        <f>huishoudens!C8</f>
        <v>0</v>
      </c>
      <c r="E11" s="639">
        <f>huishoudens!D8</f>
        <v>298839.21075800003</v>
      </c>
      <c r="F11" s="639">
        <f>huishoudens!E8</f>
        <v>6792.2380447565256</v>
      </c>
      <c r="G11" s="639">
        <f>huishoudens!F8</f>
        <v>207075.61810801981</v>
      </c>
      <c r="H11" s="639">
        <f>huishoudens!G8</f>
        <v>0</v>
      </c>
      <c r="I11" s="639">
        <f>huishoudens!H8</f>
        <v>0</v>
      </c>
      <c r="J11" s="639">
        <f>huishoudens!I8</f>
        <v>0</v>
      </c>
      <c r="K11" s="639">
        <f>huishoudens!J8</f>
        <v>3757.3149359335757</v>
      </c>
      <c r="L11" s="639">
        <f>huishoudens!K8</f>
        <v>0</v>
      </c>
      <c r="M11" s="639">
        <f>huishoudens!L8</f>
        <v>0</v>
      </c>
      <c r="N11" s="639">
        <f>huishoudens!M8</f>
        <v>0</v>
      </c>
      <c r="O11" s="639">
        <f>huishoudens!N8</f>
        <v>48162.016787240434</v>
      </c>
      <c r="P11" s="639">
        <f>huishoudens!O8</f>
        <v>364.25666666666666</v>
      </c>
      <c r="Q11" s="640">
        <f>huishoudens!P8</f>
        <v>1372.8</v>
      </c>
      <c r="R11" s="642">
        <f>SUM(C11:Q11)</f>
        <v>703522.98767812923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645</v>
      </c>
      <c r="B13" s="762" t="s">
        <v>643</v>
      </c>
      <c r="C13" s="639">
        <f>industrie!B18</f>
        <v>69428.551000000007</v>
      </c>
      <c r="D13" s="639">
        <f>industrie!C18</f>
        <v>321.42857142857144</v>
      </c>
      <c r="E13" s="639">
        <f>industrie!D18</f>
        <v>95071.363811142874</v>
      </c>
      <c r="F13" s="639">
        <f>industrie!E18</f>
        <v>839.22316727889245</v>
      </c>
      <c r="G13" s="639">
        <f>industrie!F18</f>
        <v>33804.569876145426</v>
      </c>
      <c r="H13" s="639">
        <f>industrie!G18</f>
        <v>0</v>
      </c>
      <c r="I13" s="639">
        <f>industrie!H18</f>
        <v>0</v>
      </c>
      <c r="J13" s="639">
        <f>industrie!I18</f>
        <v>0</v>
      </c>
      <c r="K13" s="639">
        <f>industrie!J18</f>
        <v>159.91296162691609</v>
      </c>
      <c r="L13" s="639">
        <f>industrie!K18</f>
        <v>0</v>
      </c>
      <c r="M13" s="639">
        <f>industrie!L18</f>
        <v>0</v>
      </c>
      <c r="N13" s="639">
        <f>industrie!M18</f>
        <v>0</v>
      </c>
      <c r="O13" s="639">
        <f>industrie!N18</f>
        <v>4341.8786544085615</v>
      </c>
      <c r="P13" s="639">
        <f>industrie!O18</f>
        <v>0</v>
      </c>
      <c r="Q13" s="640">
        <f>industrie!P18</f>
        <v>0</v>
      </c>
      <c r="R13" s="642">
        <f>SUM(C13:Q13)</f>
        <v>203966.92804203124</v>
      </c>
      <c r="S13" s="68"/>
    </row>
    <row r="14" spans="1:19" s="443" customFormat="1">
      <c r="A14" s="753"/>
      <c r="B14" s="762" t="s">
        <v>644</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847</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411367.18437751208</v>
      </c>
      <c r="D16" s="672">
        <f t="shared" ref="D16:R16" ca="1" si="0">SUM(D9:D15)</f>
        <v>3180.2142857142858</v>
      </c>
      <c r="E16" s="672">
        <f t="shared" ca="1" si="0"/>
        <v>582049.35303657153</v>
      </c>
      <c r="F16" s="672">
        <f t="shared" si="0"/>
        <v>9195.1997815608629</v>
      </c>
      <c r="G16" s="672">
        <f t="shared" ca="1" si="0"/>
        <v>280577.86222649616</v>
      </c>
      <c r="H16" s="672">
        <f t="shared" si="0"/>
        <v>0</v>
      </c>
      <c r="I16" s="672">
        <f t="shared" si="0"/>
        <v>0</v>
      </c>
      <c r="J16" s="672">
        <f t="shared" si="0"/>
        <v>0</v>
      </c>
      <c r="K16" s="672">
        <f t="shared" si="0"/>
        <v>3917.2278975604918</v>
      </c>
      <c r="L16" s="672">
        <f t="shared" si="0"/>
        <v>0</v>
      </c>
      <c r="M16" s="672">
        <f t="shared" ca="1" si="0"/>
        <v>0</v>
      </c>
      <c r="N16" s="672">
        <f t="shared" si="0"/>
        <v>0</v>
      </c>
      <c r="O16" s="672">
        <f t="shared" ca="1" si="0"/>
        <v>57592.577907424871</v>
      </c>
      <c r="P16" s="672">
        <f t="shared" si="0"/>
        <v>367.38333333333333</v>
      </c>
      <c r="Q16" s="672">
        <f t="shared" si="0"/>
        <v>1525.3333333333333</v>
      </c>
      <c r="R16" s="672">
        <f t="shared" ca="1" si="0"/>
        <v>1349772.336179507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91.372194413806838</v>
      </c>
      <c r="D19" s="639">
        <f>transport!C54</f>
        <v>0</v>
      </c>
      <c r="E19" s="639">
        <f>transport!D54</f>
        <v>0</v>
      </c>
      <c r="F19" s="639">
        <f>transport!E54</f>
        <v>0</v>
      </c>
      <c r="G19" s="639">
        <f>transport!F54</f>
        <v>0</v>
      </c>
      <c r="H19" s="639">
        <f>transport!G54</f>
        <v>18224.364826863432</v>
      </c>
      <c r="I19" s="639">
        <f>transport!H54</f>
        <v>0</v>
      </c>
      <c r="J19" s="639">
        <f>transport!I54</f>
        <v>0</v>
      </c>
      <c r="K19" s="639">
        <f>transport!J54</f>
        <v>0</v>
      </c>
      <c r="L19" s="639">
        <f>transport!K54</f>
        <v>0</v>
      </c>
      <c r="M19" s="639">
        <f>transport!L54</f>
        <v>0</v>
      </c>
      <c r="N19" s="639">
        <f>transport!M54</f>
        <v>805.49751561653284</v>
      </c>
      <c r="O19" s="639">
        <f>transport!N54</f>
        <v>0</v>
      </c>
      <c r="P19" s="639">
        <f>transport!O54</f>
        <v>0</v>
      </c>
      <c r="Q19" s="640">
        <f>transport!P54</f>
        <v>0</v>
      </c>
      <c r="R19" s="642">
        <f>SUM(C19:Q19)</f>
        <v>19121.234536893768</v>
      </c>
      <c r="S19" s="68"/>
    </row>
    <row r="20" spans="1:19" s="443" customFormat="1">
      <c r="A20" s="753" t="s">
        <v>296</v>
      </c>
      <c r="B20" s="758"/>
      <c r="C20" s="639">
        <f>transport!B14</f>
        <v>26.413148672981933</v>
      </c>
      <c r="D20" s="639">
        <f>transport!C14</f>
        <v>0</v>
      </c>
      <c r="E20" s="639">
        <f>transport!D14</f>
        <v>32.145715043702126</v>
      </c>
      <c r="F20" s="639">
        <f>transport!E14</f>
        <v>2199.506386672093</v>
      </c>
      <c r="G20" s="639">
        <f>transport!F14</f>
        <v>0</v>
      </c>
      <c r="H20" s="639">
        <f>transport!G14</f>
        <v>458075.28513327852</v>
      </c>
      <c r="I20" s="639">
        <f>transport!H14</f>
        <v>83359.760699679391</v>
      </c>
      <c r="J20" s="639">
        <f>transport!I14</f>
        <v>0</v>
      </c>
      <c r="K20" s="639">
        <f>transport!J14</f>
        <v>0</v>
      </c>
      <c r="L20" s="639">
        <f>transport!K14</f>
        <v>0</v>
      </c>
      <c r="M20" s="639">
        <f>transport!L14</f>
        <v>0</v>
      </c>
      <c r="N20" s="639">
        <f>transport!M14</f>
        <v>24200.696417003353</v>
      </c>
      <c r="O20" s="639">
        <f>transport!N14</f>
        <v>0</v>
      </c>
      <c r="P20" s="639">
        <f>transport!O14</f>
        <v>0</v>
      </c>
      <c r="Q20" s="640">
        <f>transport!P14</f>
        <v>0</v>
      </c>
      <c r="R20" s="642">
        <f>SUM(C20:Q20)</f>
        <v>567893.80750035006</v>
      </c>
      <c r="S20" s="68"/>
    </row>
    <row r="21" spans="1:19" s="443" customFormat="1" ht="15" thickBot="1">
      <c r="A21" s="775" t="s">
        <v>848</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117.78534308678877</v>
      </c>
      <c r="D22" s="756">
        <f t="shared" ref="D22:R22" si="1">SUM(D18:D21)</f>
        <v>0</v>
      </c>
      <c r="E22" s="756">
        <f t="shared" si="1"/>
        <v>32.145715043702126</v>
      </c>
      <c r="F22" s="756">
        <f t="shared" si="1"/>
        <v>2199.506386672093</v>
      </c>
      <c r="G22" s="756">
        <f t="shared" si="1"/>
        <v>0</v>
      </c>
      <c r="H22" s="756">
        <f t="shared" si="1"/>
        <v>476299.64996014198</v>
      </c>
      <c r="I22" s="756">
        <f t="shared" si="1"/>
        <v>83359.760699679391</v>
      </c>
      <c r="J22" s="756">
        <f t="shared" si="1"/>
        <v>0</v>
      </c>
      <c r="K22" s="756">
        <f t="shared" si="1"/>
        <v>0</v>
      </c>
      <c r="L22" s="756">
        <f t="shared" si="1"/>
        <v>0</v>
      </c>
      <c r="M22" s="756">
        <f t="shared" si="1"/>
        <v>0</v>
      </c>
      <c r="N22" s="756">
        <f t="shared" si="1"/>
        <v>25006.193932619884</v>
      </c>
      <c r="O22" s="756">
        <f t="shared" si="1"/>
        <v>0</v>
      </c>
      <c r="P22" s="756">
        <f t="shared" si="1"/>
        <v>0</v>
      </c>
      <c r="Q22" s="756">
        <f t="shared" si="1"/>
        <v>0</v>
      </c>
      <c r="R22" s="756">
        <f t="shared" si="1"/>
        <v>587015.04203724384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635</v>
      </c>
      <c r="B24" s="758"/>
      <c r="C24" s="639">
        <f>+landbouw!B8</f>
        <v>3383.6849999999999</v>
      </c>
      <c r="D24" s="639">
        <f>+landbouw!C8</f>
        <v>0</v>
      </c>
      <c r="E24" s="639">
        <f>+landbouw!D8</f>
        <v>2317.3931440000001</v>
      </c>
      <c r="F24" s="639">
        <f>+landbouw!E8</f>
        <v>33.414505234114245</v>
      </c>
      <c r="G24" s="639">
        <f>+landbouw!F8</f>
        <v>11288.868476178935</v>
      </c>
      <c r="H24" s="639">
        <f>+landbouw!G8</f>
        <v>0</v>
      </c>
      <c r="I24" s="639">
        <f>+landbouw!H8</f>
        <v>0</v>
      </c>
      <c r="J24" s="639">
        <f>+landbouw!I8</f>
        <v>0</v>
      </c>
      <c r="K24" s="639">
        <f>+landbouw!J8</f>
        <v>337.58906087341342</v>
      </c>
      <c r="L24" s="639">
        <f>+landbouw!K8</f>
        <v>0</v>
      </c>
      <c r="M24" s="639">
        <f>+landbouw!L8</f>
        <v>0</v>
      </c>
      <c r="N24" s="639">
        <f>+landbouw!M8</f>
        <v>0</v>
      </c>
      <c r="O24" s="639">
        <f>+landbouw!N8</f>
        <v>0</v>
      </c>
      <c r="P24" s="639">
        <f>+landbouw!O8</f>
        <v>0</v>
      </c>
      <c r="Q24" s="640">
        <f>+landbouw!P8</f>
        <v>0</v>
      </c>
      <c r="R24" s="642">
        <f>SUM(C24:Q24)</f>
        <v>17360.950186286464</v>
      </c>
      <c r="S24" s="68"/>
    </row>
    <row r="25" spans="1:19" s="443" customFormat="1" ht="15" thickBot="1">
      <c r="A25" s="775" t="s">
        <v>849</v>
      </c>
      <c r="B25" s="941"/>
      <c r="C25" s="942">
        <f>IF(Onbekend_ele_kWh="---",0,Onbekend_ele_kWh)/1000+IF(REST_rest_ele_kWh="---",0,REST_rest_ele_kWh)/1000</f>
        <v>5435.0839999999998</v>
      </c>
      <c r="D25" s="942"/>
      <c r="E25" s="942">
        <f>IF(onbekend_gas_kWh="---",0,onbekend_gas_kWh)/1000+IF(REST_rest_gas_kWh="---",0,REST_rest_gas_kWh)/1000</f>
        <v>27761.11</v>
      </c>
      <c r="F25" s="942"/>
      <c r="G25" s="942"/>
      <c r="H25" s="942"/>
      <c r="I25" s="942"/>
      <c r="J25" s="942"/>
      <c r="K25" s="942"/>
      <c r="L25" s="942"/>
      <c r="M25" s="942"/>
      <c r="N25" s="942"/>
      <c r="O25" s="942"/>
      <c r="P25" s="942"/>
      <c r="Q25" s="943"/>
      <c r="R25" s="642">
        <f>SUM(C25:Q25)</f>
        <v>33196.194000000003</v>
      </c>
      <c r="S25" s="68"/>
    </row>
    <row r="26" spans="1:19" s="443" customFormat="1" ht="15.75" thickBot="1">
      <c r="A26" s="645" t="s">
        <v>850</v>
      </c>
      <c r="B26" s="761"/>
      <c r="C26" s="756">
        <f>SUM(C24:C25)</f>
        <v>8818.7690000000002</v>
      </c>
      <c r="D26" s="756">
        <f t="shared" ref="D26:R26" si="2">SUM(D24:D25)</f>
        <v>0</v>
      </c>
      <c r="E26" s="756">
        <f t="shared" si="2"/>
        <v>30078.503144000002</v>
      </c>
      <c r="F26" s="756">
        <f t="shared" si="2"/>
        <v>33.414505234114245</v>
      </c>
      <c r="G26" s="756">
        <f t="shared" si="2"/>
        <v>11288.868476178935</v>
      </c>
      <c r="H26" s="756">
        <f t="shared" si="2"/>
        <v>0</v>
      </c>
      <c r="I26" s="756">
        <f t="shared" si="2"/>
        <v>0</v>
      </c>
      <c r="J26" s="756">
        <f t="shared" si="2"/>
        <v>0</v>
      </c>
      <c r="K26" s="756">
        <f t="shared" si="2"/>
        <v>337.58906087341342</v>
      </c>
      <c r="L26" s="756">
        <f t="shared" si="2"/>
        <v>0</v>
      </c>
      <c r="M26" s="756">
        <f t="shared" si="2"/>
        <v>0</v>
      </c>
      <c r="N26" s="756">
        <f t="shared" si="2"/>
        <v>0</v>
      </c>
      <c r="O26" s="756">
        <f t="shared" si="2"/>
        <v>0</v>
      </c>
      <c r="P26" s="756">
        <f t="shared" si="2"/>
        <v>0</v>
      </c>
      <c r="Q26" s="756">
        <f t="shared" si="2"/>
        <v>0</v>
      </c>
      <c r="R26" s="756">
        <f t="shared" si="2"/>
        <v>50557.144186286467</v>
      </c>
      <c r="S26" s="68"/>
    </row>
    <row r="27" spans="1:19" s="443" customFormat="1" ht="17.25" thickTop="1" thickBot="1">
      <c r="A27" s="646" t="s">
        <v>109</v>
      </c>
      <c r="B27" s="748"/>
      <c r="C27" s="647">
        <f ca="1">C22+C16+C26</f>
        <v>420303.73872059886</v>
      </c>
      <c r="D27" s="647">
        <f t="shared" ref="D27:R27" ca="1" si="3">D22+D16+D26</f>
        <v>3180.2142857142858</v>
      </c>
      <c r="E27" s="647">
        <f t="shared" ca="1" si="3"/>
        <v>612160.00189561513</v>
      </c>
      <c r="F27" s="647">
        <f t="shared" si="3"/>
        <v>11428.120673467069</v>
      </c>
      <c r="G27" s="647">
        <f t="shared" ca="1" si="3"/>
        <v>291866.73070267512</v>
      </c>
      <c r="H27" s="647">
        <f t="shared" si="3"/>
        <v>476299.64996014198</v>
      </c>
      <c r="I27" s="647">
        <f t="shared" si="3"/>
        <v>83359.760699679391</v>
      </c>
      <c r="J27" s="647">
        <f t="shared" si="3"/>
        <v>0</v>
      </c>
      <c r="K27" s="647">
        <f t="shared" si="3"/>
        <v>4254.8169584339048</v>
      </c>
      <c r="L27" s="647">
        <f t="shared" si="3"/>
        <v>0</v>
      </c>
      <c r="M27" s="647">
        <f t="shared" ca="1" si="3"/>
        <v>0</v>
      </c>
      <c r="N27" s="647">
        <f t="shared" si="3"/>
        <v>25006.193932619884</v>
      </c>
      <c r="O27" s="647">
        <f t="shared" ca="1" si="3"/>
        <v>57592.577907424871</v>
      </c>
      <c r="P27" s="647">
        <f t="shared" si="3"/>
        <v>367.38333333333333</v>
      </c>
      <c r="Q27" s="647">
        <f t="shared" si="3"/>
        <v>1525.3333333333333</v>
      </c>
      <c r="R27" s="647">
        <f t="shared" ca="1" si="3"/>
        <v>1987344.5224030374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41486.938427430985</v>
      </c>
      <c r="D40" s="639">
        <f ca="1">tertiair!C20</f>
        <v>679.38201680672285</v>
      </c>
      <c r="E40" s="639">
        <f ca="1">tertiair!D20</f>
        <v>38004.033250420573</v>
      </c>
      <c r="F40" s="639">
        <f>tertiair!E20</f>
        <v>354.96865528227579</v>
      </c>
      <c r="G40" s="639">
        <f ca="1">tertiair!F20</f>
        <v>10599.279022702356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91124.601372642923</v>
      </c>
    </row>
    <row r="41" spans="1:18">
      <c r="A41" s="766" t="s">
        <v>214</v>
      </c>
      <c r="B41" s="773"/>
      <c r="C41" s="639">
        <f ca="1">huishoudens!B12</f>
        <v>27787.645549245142</v>
      </c>
      <c r="D41" s="639">
        <f ca="1">huishoudens!C12</f>
        <v>0</v>
      </c>
      <c r="E41" s="639">
        <f>huishoudens!D12</f>
        <v>60365.520573116009</v>
      </c>
      <c r="F41" s="639">
        <f>huishoudens!E12</f>
        <v>1541.8380361597315</v>
      </c>
      <c r="G41" s="639">
        <f>huishoudens!F12</f>
        <v>55289.190034841296</v>
      </c>
      <c r="H41" s="639">
        <f>huishoudens!G12</f>
        <v>0</v>
      </c>
      <c r="I41" s="639">
        <f>huishoudens!H12</f>
        <v>0</v>
      </c>
      <c r="J41" s="639">
        <f>huishoudens!I12</f>
        <v>0</v>
      </c>
      <c r="K41" s="639">
        <f>huishoudens!J12</f>
        <v>1330.0894873204857</v>
      </c>
      <c r="L41" s="639">
        <f>huishoudens!K12</f>
        <v>0</v>
      </c>
      <c r="M41" s="639">
        <f>huishoudens!L12</f>
        <v>0</v>
      </c>
      <c r="N41" s="639">
        <f>huishoudens!M12</f>
        <v>0</v>
      </c>
      <c r="O41" s="639">
        <f>huishoudens!N12</f>
        <v>0</v>
      </c>
      <c r="P41" s="639">
        <f>huishoudens!O12</f>
        <v>0</v>
      </c>
      <c r="Q41" s="714">
        <f>huishoudens!P12</f>
        <v>0</v>
      </c>
      <c r="R41" s="794">
        <f t="shared" ca="1" si="4"/>
        <v>146314.28368068265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646</v>
      </c>
      <c r="B43" s="781" t="s">
        <v>643</v>
      </c>
      <c r="C43" s="639">
        <f ca="1">industrie!B22</f>
        <v>14065.781158218642</v>
      </c>
      <c r="D43" s="639">
        <f ca="1">industrie!C22</f>
        <v>76.386554621848759</v>
      </c>
      <c r="E43" s="639">
        <f>industrie!D22</f>
        <v>19204.41548985086</v>
      </c>
      <c r="F43" s="639">
        <f>industrie!E22</f>
        <v>190.50365897230859</v>
      </c>
      <c r="G43" s="639">
        <f>industrie!F22</f>
        <v>9025.8201569308294</v>
      </c>
      <c r="H43" s="639">
        <f>industrie!G22</f>
        <v>0</v>
      </c>
      <c r="I43" s="639">
        <f>industrie!H22</f>
        <v>0</v>
      </c>
      <c r="J43" s="639">
        <f>industrie!I22</f>
        <v>0</v>
      </c>
      <c r="K43" s="639">
        <f>industrie!J22</f>
        <v>56.609188415928294</v>
      </c>
      <c r="L43" s="639">
        <f>industrie!K22</f>
        <v>0</v>
      </c>
      <c r="M43" s="639">
        <f>industrie!L22</f>
        <v>0</v>
      </c>
      <c r="N43" s="639">
        <f>industrie!M22</f>
        <v>0</v>
      </c>
      <c r="O43" s="639">
        <f>industrie!N22</f>
        <v>0</v>
      </c>
      <c r="P43" s="639">
        <f>industrie!O22</f>
        <v>0</v>
      </c>
      <c r="Q43" s="714">
        <f>industrie!P22</f>
        <v>0</v>
      </c>
      <c r="R43" s="793">
        <f t="shared" ca="1" si="4"/>
        <v>42619.51620701042</v>
      </c>
    </row>
    <row r="44" spans="1:18">
      <c r="A44" s="766"/>
      <c r="B44" s="773" t="s">
        <v>644</v>
      </c>
      <c r="C44" s="639"/>
      <c r="D44" s="639"/>
      <c r="E44" s="639"/>
      <c r="F44" s="639"/>
      <c r="G44" s="639"/>
      <c r="H44" s="639"/>
      <c r="I44" s="639"/>
      <c r="J44" s="639"/>
      <c r="K44" s="639"/>
      <c r="L44" s="639"/>
      <c r="M44" s="639"/>
      <c r="N44" s="639"/>
      <c r="O44" s="639"/>
      <c r="P44" s="639"/>
      <c r="Q44" s="714"/>
      <c r="R44" s="794">
        <f t="shared" si="4"/>
        <v>0</v>
      </c>
    </row>
    <row r="45" spans="1:18" ht="15" thickBot="1">
      <c r="A45" s="940" t="s">
        <v>847</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83340.365134894775</v>
      </c>
      <c r="D46" s="672">
        <f t="shared" ref="D46:Q46" ca="1" si="5">SUM(D39:D45)</f>
        <v>755.76857142857159</v>
      </c>
      <c r="E46" s="672">
        <f t="shared" ca="1" si="5"/>
        <v>117573.96931338744</v>
      </c>
      <c r="F46" s="672">
        <f t="shared" si="5"/>
        <v>2087.310350414316</v>
      </c>
      <c r="G46" s="672">
        <f t="shared" ca="1" si="5"/>
        <v>74914.289214474484</v>
      </c>
      <c r="H46" s="672">
        <f t="shared" si="5"/>
        <v>0</v>
      </c>
      <c r="I46" s="672">
        <f t="shared" si="5"/>
        <v>0</v>
      </c>
      <c r="J46" s="672">
        <f t="shared" si="5"/>
        <v>0</v>
      </c>
      <c r="K46" s="672">
        <f t="shared" si="5"/>
        <v>1386.6986757364139</v>
      </c>
      <c r="L46" s="672">
        <f t="shared" si="5"/>
        <v>0</v>
      </c>
      <c r="M46" s="672">
        <f t="shared" ca="1" si="5"/>
        <v>0</v>
      </c>
      <c r="N46" s="672">
        <f t="shared" si="5"/>
        <v>0</v>
      </c>
      <c r="O46" s="672">
        <f t="shared" ca="1" si="5"/>
        <v>0</v>
      </c>
      <c r="P46" s="672">
        <f t="shared" si="5"/>
        <v>0</v>
      </c>
      <c r="Q46" s="672">
        <f t="shared" si="5"/>
        <v>0</v>
      </c>
      <c r="R46" s="672">
        <f ca="1">SUM(R39:R45)</f>
        <v>280058.40126033599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18.511423212200047</v>
      </c>
      <c r="D49" s="639">
        <f ca="1">transport!C58</f>
        <v>0</v>
      </c>
      <c r="E49" s="639">
        <f>transport!D58</f>
        <v>0</v>
      </c>
      <c r="F49" s="639">
        <f>transport!E58</f>
        <v>0</v>
      </c>
      <c r="G49" s="639">
        <f>transport!F58</f>
        <v>0</v>
      </c>
      <c r="H49" s="639">
        <f>transport!G58</f>
        <v>4865.9054087725362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4884.4168319847367</v>
      </c>
    </row>
    <row r="50" spans="1:18">
      <c r="A50" s="769" t="s">
        <v>296</v>
      </c>
      <c r="B50" s="779"/>
      <c r="C50" s="948">
        <f ca="1">transport!B18</f>
        <v>5.3511352834319839</v>
      </c>
      <c r="D50" s="948">
        <f>transport!C18</f>
        <v>0</v>
      </c>
      <c r="E50" s="948">
        <f>transport!D18</f>
        <v>6.4934344388278298</v>
      </c>
      <c r="F50" s="948">
        <f>transport!E18</f>
        <v>499.28794977456511</v>
      </c>
      <c r="G50" s="948">
        <f>transport!F18</f>
        <v>0</v>
      </c>
      <c r="H50" s="948">
        <f>transport!G18</f>
        <v>122306.10113058538</v>
      </c>
      <c r="I50" s="948">
        <f>transport!H18</f>
        <v>20756.580414220167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143573.81406430237</v>
      </c>
    </row>
    <row r="51" spans="1:18" ht="15" thickBot="1">
      <c r="A51" s="766" t="s">
        <v>848</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23.86255849563203</v>
      </c>
      <c r="D52" s="672">
        <f t="shared" ref="D52:Q52" ca="1" si="6">SUM(D48:D51)</f>
        <v>0</v>
      </c>
      <c r="E52" s="672">
        <f t="shared" si="6"/>
        <v>6.4934344388278298</v>
      </c>
      <c r="F52" s="672">
        <f t="shared" si="6"/>
        <v>499.28794977456511</v>
      </c>
      <c r="G52" s="672">
        <f t="shared" si="6"/>
        <v>0</v>
      </c>
      <c r="H52" s="672">
        <f t="shared" si="6"/>
        <v>127172.00653935791</v>
      </c>
      <c r="I52" s="672">
        <f t="shared" si="6"/>
        <v>20756.580414220167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148458.2308962871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635</v>
      </c>
      <c r="B54" s="779"/>
      <c r="C54" s="948">
        <f ca="1">+landbouw!B12</f>
        <v>685.51297748309685</v>
      </c>
      <c r="D54" s="948">
        <f ca="1">+landbouw!C12</f>
        <v>0</v>
      </c>
      <c r="E54" s="948">
        <f>+landbouw!D12</f>
        <v>468.11341508800007</v>
      </c>
      <c r="F54" s="948">
        <f>+landbouw!E12</f>
        <v>7.5850926881439333</v>
      </c>
      <c r="G54" s="948">
        <f>+landbouw!F12</f>
        <v>3014.1278831397758</v>
      </c>
      <c r="H54" s="948">
        <f>+landbouw!G12</f>
        <v>0</v>
      </c>
      <c r="I54" s="948">
        <f>+landbouw!H12</f>
        <v>0</v>
      </c>
      <c r="J54" s="948">
        <f>+landbouw!I12</f>
        <v>0</v>
      </c>
      <c r="K54" s="948">
        <f>+landbouw!J12</f>
        <v>119.50652754918835</v>
      </c>
      <c r="L54" s="948">
        <f>+landbouw!K12</f>
        <v>0</v>
      </c>
      <c r="M54" s="948">
        <f>+landbouw!L12</f>
        <v>0</v>
      </c>
      <c r="N54" s="948">
        <f>+landbouw!M12</f>
        <v>0</v>
      </c>
      <c r="O54" s="948">
        <f>+landbouw!N12</f>
        <v>0</v>
      </c>
      <c r="P54" s="948">
        <f>+landbouw!O12</f>
        <v>0</v>
      </c>
      <c r="Q54" s="949">
        <f>+landbouw!P12</f>
        <v>0</v>
      </c>
      <c r="R54" s="671">
        <f ca="1">SUM(C54:Q54)</f>
        <v>4294.8458959482041</v>
      </c>
    </row>
    <row r="55" spans="1:18" ht="15" thickBot="1">
      <c r="A55" s="769" t="s">
        <v>849</v>
      </c>
      <c r="B55" s="779"/>
      <c r="C55" s="948">
        <f ca="1">C25*'EF ele_warmte'!B12</f>
        <v>1101.1133174957893</v>
      </c>
      <c r="D55" s="948"/>
      <c r="E55" s="948">
        <f>E25*EF_CO2_aardgas</f>
        <v>5607.7442200000005</v>
      </c>
      <c r="F55" s="948"/>
      <c r="G55" s="948"/>
      <c r="H55" s="948"/>
      <c r="I55" s="948"/>
      <c r="J55" s="948"/>
      <c r="K55" s="948"/>
      <c r="L55" s="948"/>
      <c r="M55" s="948"/>
      <c r="N55" s="948"/>
      <c r="O55" s="948"/>
      <c r="P55" s="948"/>
      <c r="Q55" s="949"/>
      <c r="R55" s="671">
        <f ca="1">SUM(C55:Q55)</f>
        <v>6708.85753749579</v>
      </c>
    </row>
    <row r="56" spans="1:18" ht="15.75" thickBot="1">
      <c r="A56" s="767" t="s">
        <v>850</v>
      </c>
      <c r="B56" s="780"/>
      <c r="C56" s="672">
        <f ca="1">SUM(C54:C55)</f>
        <v>1786.6262949788861</v>
      </c>
      <c r="D56" s="672">
        <f t="shared" ref="D56:Q56" ca="1" si="7">SUM(D54:D55)</f>
        <v>0</v>
      </c>
      <c r="E56" s="672">
        <f t="shared" si="7"/>
        <v>6075.8576350880003</v>
      </c>
      <c r="F56" s="672">
        <f t="shared" si="7"/>
        <v>7.5850926881439333</v>
      </c>
      <c r="G56" s="672">
        <f t="shared" si="7"/>
        <v>3014.1278831397758</v>
      </c>
      <c r="H56" s="672">
        <f t="shared" si="7"/>
        <v>0</v>
      </c>
      <c r="I56" s="672">
        <f t="shared" si="7"/>
        <v>0</v>
      </c>
      <c r="J56" s="672">
        <f t="shared" si="7"/>
        <v>0</v>
      </c>
      <c r="K56" s="672">
        <f t="shared" si="7"/>
        <v>119.50652754918835</v>
      </c>
      <c r="L56" s="672">
        <f t="shared" si="7"/>
        <v>0</v>
      </c>
      <c r="M56" s="672">
        <f t="shared" si="7"/>
        <v>0</v>
      </c>
      <c r="N56" s="672">
        <f t="shared" si="7"/>
        <v>0</v>
      </c>
      <c r="O56" s="672">
        <f t="shared" si="7"/>
        <v>0</v>
      </c>
      <c r="P56" s="672">
        <f t="shared" si="7"/>
        <v>0</v>
      </c>
      <c r="Q56" s="673">
        <f t="shared" si="7"/>
        <v>0</v>
      </c>
      <c r="R56" s="674">
        <f ca="1">SUM(R54:R55)</f>
        <v>11003.703433443994</v>
      </c>
    </row>
    <row r="57" spans="1:18" ht="15.75">
      <c r="A57" s="747" t="s">
        <v>636</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85150.853988369287</v>
      </c>
      <c r="D61" s="680">
        <f t="shared" ref="D61:Q61" ca="1" si="8">D46+D52+D56</f>
        <v>755.76857142857159</v>
      </c>
      <c r="E61" s="680">
        <f t="shared" ca="1" si="8"/>
        <v>123656.32038291427</v>
      </c>
      <c r="F61" s="680">
        <f t="shared" si="8"/>
        <v>2594.1833928770252</v>
      </c>
      <c r="G61" s="680">
        <f t="shared" ca="1" si="8"/>
        <v>77928.417097614263</v>
      </c>
      <c r="H61" s="680">
        <f t="shared" si="8"/>
        <v>127172.00653935791</v>
      </c>
      <c r="I61" s="680">
        <f t="shared" si="8"/>
        <v>20756.580414220167</v>
      </c>
      <c r="J61" s="680">
        <f t="shared" si="8"/>
        <v>0</v>
      </c>
      <c r="K61" s="680">
        <f t="shared" si="8"/>
        <v>1506.2052032856022</v>
      </c>
      <c r="L61" s="680">
        <f t="shared" si="8"/>
        <v>0</v>
      </c>
      <c r="M61" s="680">
        <f t="shared" ca="1" si="8"/>
        <v>0</v>
      </c>
      <c r="N61" s="680">
        <f t="shared" si="8"/>
        <v>0</v>
      </c>
      <c r="O61" s="680">
        <f t="shared" ca="1" si="8"/>
        <v>0</v>
      </c>
      <c r="P61" s="680">
        <f t="shared" si="8"/>
        <v>0</v>
      </c>
      <c r="Q61" s="680">
        <f t="shared" si="8"/>
        <v>0</v>
      </c>
      <c r="R61" s="680">
        <f ca="1">R46+R52+R56</f>
        <v>439520.33559006703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0.2025936153876903</v>
      </c>
      <c r="D63" s="724">
        <f t="shared" ca="1" si="9"/>
        <v>0.23764705882352946</v>
      </c>
      <c r="E63" s="950">
        <f t="shared" ca="1" si="9"/>
        <v>0.20200000000000001</v>
      </c>
      <c r="F63" s="724">
        <f t="shared" si="9"/>
        <v>0.22700000000000006</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649</v>
      </c>
      <c r="Q69" s="1079" t="s">
        <v>648</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647</v>
      </c>
      <c r="C71" s="923" t="s">
        <v>851</v>
      </c>
      <c r="D71" s="953" t="s">
        <v>192</v>
      </c>
      <c r="E71" s="954" t="s">
        <v>193</v>
      </c>
      <c r="F71" s="918" t="s">
        <v>194</v>
      </c>
      <c r="G71" s="915" t="s">
        <v>196</v>
      </c>
      <c r="H71" s="955" t="s">
        <v>197</v>
      </c>
      <c r="I71" s="919"/>
      <c r="J71" s="919"/>
      <c r="K71" s="919"/>
      <c r="L71" s="919"/>
      <c r="M71" s="916"/>
      <c r="N71" s="919"/>
      <c r="O71" s="924"/>
      <c r="P71" s="956"/>
      <c r="Q71" s="926" t="s">
        <v>650</v>
      </c>
      <c r="R71" s="924" t="s">
        <v>651</v>
      </c>
    </row>
    <row r="72" spans="1:18" ht="15.75" thickTop="1">
      <c r="A72" s="690" t="s">
        <v>238</v>
      </c>
      <c r="B72" s="787">
        <f>'lokale energieproductie'!B4</f>
        <v>14237.021407305889</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19698.922569540566</v>
      </c>
      <c r="C74" s="1103"/>
      <c r="D74" s="1103"/>
      <c r="E74" s="1085"/>
      <c r="F74" s="1085"/>
      <c r="G74" s="1097"/>
      <c r="H74" s="1100"/>
      <c r="I74" s="1103"/>
      <c r="J74" s="922"/>
      <c r="K74" s="1085"/>
      <c r="L74" s="1085"/>
      <c r="M74" s="1085"/>
      <c r="N74" s="1085"/>
      <c r="O74" s="1088"/>
      <c r="P74" s="796">
        <v>0</v>
      </c>
      <c r="Q74" s="802"/>
      <c r="R74" s="796">
        <v>0</v>
      </c>
    </row>
    <row r="75" spans="1:18" ht="15.75" thickBot="1">
      <c r="A75" s="691" t="s">
        <v>846</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2226.15</v>
      </c>
      <c r="D76" s="960">
        <f>'lokale energieproductie'!C8</f>
        <v>2619.0000000000005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529.03800000000012</v>
      </c>
      <c r="R76" s="796">
        <v>0</v>
      </c>
    </row>
    <row r="77" spans="1:18" ht="30.75" thickBot="1">
      <c r="A77" s="693" t="s">
        <v>340</v>
      </c>
      <c r="B77" s="690">
        <f>'lokale energieproductie'!B9*IFERROR(SUM(I77:O77)/SUM(D77:O77),0)</f>
        <v>1237.5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3535.7142857142858</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35173.443976846451</v>
      </c>
      <c r="C78" s="695">
        <f>SUM(C72:C77)</f>
        <v>2226.15</v>
      </c>
      <c r="D78" s="696">
        <f t="shared" ref="D78:H78" si="10">SUM(D76:D77)</f>
        <v>2619.0000000000005</v>
      </c>
      <c r="E78" s="696">
        <f t="shared" si="10"/>
        <v>0</v>
      </c>
      <c r="F78" s="696">
        <f t="shared" si="10"/>
        <v>0</v>
      </c>
      <c r="G78" s="696">
        <f t="shared" si="10"/>
        <v>0</v>
      </c>
      <c r="H78" s="696">
        <f t="shared" si="10"/>
        <v>0</v>
      </c>
      <c r="I78" s="696">
        <f>SUM(I76:I77)</f>
        <v>0</v>
      </c>
      <c r="J78" s="696">
        <f>SUM(J76:J77)</f>
        <v>3535.7142857142858</v>
      </c>
      <c r="K78" s="696">
        <f t="shared" ref="K78:L78" si="11">SUM(K76:K77)</f>
        <v>0</v>
      </c>
      <c r="L78" s="696">
        <f t="shared" si="11"/>
        <v>0</v>
      </c>
      <c r="M78" s="696">
        <f>SUM(M76:M77)</f>
        <v>0</v>
      </c>
      <c r="N78" s="696">
        <f>SUM(N76:N77)</f>
        <v>0</v>
      </c>
      <c r="O78" s="804">
        <f>SUM(O76:O77)</f>
        <v>0</v>
      </c>
      <c r="P78" s="697">
        <v>0</v>
      </c>
      <c r="Q78" s="697">
        <f>SUM(Q76:Q77)</f>
        <v>529.03800000000012</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649</v>
      </c>
      <c r="Q84" s="1072" t="s">
        <v>648</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647</v>
      </c>
      <c r="C86" s="788" t="s">
        <v>851</v>
      </c>
      <c r="D86" s="926" t="s">
        <v>192</v>
      </c>
      <c r="E86" s="919" t="s">
        <v>193</v>
      </c>
      <c r="F86" s="917" t="s">
        <v>194</v>
      </c>
      <c r="G86" s="919" t="s">
        <v>196</v>
      </c>
      <c r="H86" s="704" t="s">
        <v>197</v>
      </c>
      <c r="I86" s="1114"/>
      <c r="J86" s="1115"/>
      <c r="K86" s="1065"/>
      <c r="L86" s="1065"/>
      <c r="M86" s="1118"/>
      <c r="N86" s="1065"/>
      <c r="O86" s="1120"/>
      <c r="P86" s="956"/>
      <c r="Q86" s="926" t="s">
        <v>650</v>
      </c>
      <c r="R86" s="924" t="s">
        <v>651</v>
      </c>
    </row>
    <row r="87" spans="1:19" ht="15.75" thickTop="1">
      <c r="A87" s="705" t="s">
        <v>241</v>
      </c>
      <c r="B87" s="706">
        <f>'lokale energieproductie'!B17*IFERROR(SUM(I87:O87)/SUM(D87:O87),0)</f>
        <v>0</v>
      </c>
      <c r="C87" s="706">
        <f>'lokale energieproductie'!B17*IFERROR(SUM(D87:H87)/SUM(D87:O87),0)</f>
        <v>3180.2142857142858</v>
      </c>
      <c r="D87" s="717">
        <f>'lokale energieproductie'!C17</f>
        <v>3741.428571428572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755.76857142857159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3180.2142857142858</v>
      </c>
      <c r="D90" s="695">
        <f t="shared" ref="D90:H90" si="12">SUM(D87:D89)</f>
        <v>3741.428571428572</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755.76857142857159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881</v>
      </c>
      <c r="B2" s="1015" t="s">
        <v>899</v>
      </c>
      <c r="C2" s="1014" t="s">
        <v>696</v>
      </c>
      <c r="D2" s="1014" t="s">
        <v>764</v>
      </c>
      <c r="E2" s="860"/>
      <c r="F2" s="863" t="s">
        <v>748</v>
      </c>
      <c r="G2" s="863" t="s">
        <v>749</v>
      </c>
      <c r="H2" s="342" t="s">
        <v>750</v>
      </c>
    </row>
    <row r="3" spans="1:9" s="12" customFormat="1">
      <c r="A3" s="1014" t="s">
        <v>908</v>
      </c>
      <c r="B3" s="1015" t="s">
        <v>909</v>
      </c>
      <c r="C3" s="1014" t="s">
        <v>186</v>
      </c>
      <c r="D3" s="1016" t="s">
        <v>910</v>
      </c>
      <c r="E3" s="860"/>
      <c r="F3" s="861" t="s">
        <v>742</v>
      </c>
      <c r="G3" s="861" t="s">
        <v>743</v>
      </c>
      <c r="H3" s="861" t="s">
        <v>744</v>
      </c>
    </row>
    <row r="4" spans="1:9" s="840" customFormat="1">
      <c r="A4" s="859" t="s">
        <v>403</v>
      </c>
      <c r="B4" s="868">
        <v>2013</v>
      </c>
      <c r="C4" s="859" t="s">
        <v>403</v>
      </c>
      <c r="D4" s="859" t="s">
        <v>763</v>
      </c>
      <c r="E4" s="860"/>
      <c r="F4" s="861" t="s">
        <v>745</v>
      </c>
      <c r="G4" s="861" t="s">
        <v>746</v>
      </c>
      <c r="H4" s="861" t="s">
        <v>747</v>
      </c>
    </row>
    <row r="5" spans="1:9">
      <c r="A5" s="338" t="s">
        <v>392</v>
      </c>
      <c r="B5" s="339" t="s">
        <v>629</v>
      </c>
      <c r="C5" s="338" t="s">
        <v>392</v>
      </c>
      <c r="D5" s="338" t="s">
        <v>630</v>
      </c>
      <c r="E5" s="340"/>
      <c r="F5" s="341" t="s">
        <v>394</v>
      </c>
      <c r="G5" s="341" t="s">
        <v>395</v>
      </c>
      <c r="H5" s="342" t="s">
        <v>396</v>
      </c>
    </row>
    <row r="6" spans="1:9">
      <c r="A6" s="338" t="s">
        <v>397</v>
      </c>
      <c r="B6" s="339" t="s">
        <v>632</v>
      </c>
      <c r="C6" s="338" t="s">
        <v>397</v>
      </c>
      <c r="D6" s="338" t="s">
        <v>631</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751</v>
      </c>
      <c r="B8" s="743">
        <v>2013</v>
      </c>
      <c r="C8" s="343" t="s">
        <v>403</v>
      </c>
      <c r="D8" s="343" t="s">
        <v>900</v>
      </c>
      <c r="E8" s="864" t="s">
        <v>752</v>
      </c>
      <c r="F8" s="341"/>
      <c r="G8" s="341"/>
      <c r="H8" s="342"/>
    </row>
    <row r="9" spans="1:9" s="12" customFormat="1">
      <c r="A9" s="859" t="s">
        <v>779</v>
      </c>
      <c r="B9" s="862" t="s">
        <v>782</v>
      </c>
      <c r="C9" s="859" t="s">
        <v>781</v>
      </c>
      <c r="D9" s="859" t="s">
        <v>780</v>
      </c>
      <c r="E9" s="860" t="s">
        <v>778</v>
      </c>
      <c r="F9" s="863"/>
      <c r="G9" s="863"/>
      <c r="H9" s="342"/>
    </row>
    <row r="10" spans="1:9">
      <c r="A10" s="343" t="s">
        <v>606</v>
      </c>
      <c r="B10" s="339" t="s">
        <v>607</v>
      </c>
      <c r="C10" s="343" t="s">
        <v>611</v>
      </c>
      <c r="D10" s="343" t="s">
        <v>612</v>
      </c>
      <c r="E10" s="340"/>
      <c r="F10" s="341" t="s">
        <v>608</v>
      </c>
      <c r="G10" s="341" t="s">
        <v>609</v>
      </c>
      <c r="H10" s="342" t="s">
        <v>610</v>
      </c>
    </row>
    <row r="11" spans="1:9" s="840" customFormat="1">
      <c r="A11" s="859" t="s">
        <v>765</v>
      </c>
      <c r="B11" s="868">
        <v>2017</v>
      </c>
      <c r="C11" s="859" t="s">
        <v>422</v>
      </c>
      <c r="D11" s="859" t="s">
        <v>766</v>
      </c>
      <c r="E11" s="864"/>
      <c r="F11" s="863" t="s">
        <v>748</v>
      </c>
      <c r="G11" s="863" t="s">
        <v>749</v>
      </c>
      <c r="H11" s="342" t="s">
        <v>750</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795</v>
      </c>
      <c r="G14" s="341" t="s">
        <v>796</v>
      </c>
      <c r="H14" s="342" t="s">
        <v>797</v>
      </c>
    </row>
    <row r="15" spans="1:9" s="840" customFormat="1">
      <c r="A15" s="866" t="s">
        <v>757</v>
      </c>
      <c r="B15" s="867" t="s">
        <v>758</v>
      </c>
      <c r="C15" s="866" t="s">
        <v>759</v>
      </c>
      <c r="D15" s="1013" t="s">
        <v>901</v>
      </c>
      <c r="E15" s="638"/>
      <c r="F15" s="863" t="s">
        <v>760</v>
      </c>
      <c r="G15" s="863" t="s">
        <v>761</v>
      </c>
      <c r="H15" s="342" t="s">
        <v>762</v>
      </c>
    </row>
    <row r="16" spans="1:9">
      <c r="A16" s="338" t="s">
        <v>506</v>
      </c>
      <c r="B16" s="339" t="s">
        <v>369</v>
      </c>
      <c r="C16" s="338" t="s">
        <v>367</v>
      </c>
      <c r="D16" s="346" t="s">
        <v>368</v>
      </c>
      <c r="E16" s="340" t="s">
        <v>370</v>
      </c>
      <c r="F16" s="865" t="s">
        <v>753</v>
      </c>
      <c r="G16" s="865" t="s">
        <v>754</v>
      </c>
      <c r="H16" s="342" t="s">
        <v>755</v>
      </c>
      <c r="I16" s="840"/>
    </row>
    <row r="17" spans="1:9" s="840" customFormat="1">
      <c r="A17" s="338" t="s">
        <v>506</v>
      </c>
      <c r="B17" s="339" t="s">
        <v>787</v>
      </c>
      <c r="C17" s="338" t="s">
        <v>791</v>
      </c>
      <c r="D17" s="346" t="s">
        <v>792</v>
      </c>
      <c r="E17" s="340"/>
      <c r="F17" s="865" t="s">
        <v>753</v>
      </c>
      <c r="G17" s="865" t="s">
        <v>754</v>
      </c>
      <c r="H17" s="342" t="s">
        <v>755</v>
      </c>
    </row>
    <row r="18" spans="1:9">
      <c r="A18" s="343" t="s">
        <v>505</v>
      </c>
      <c r="B18" s="345" t="s">
        <v>393</v>
      </c>
      <c r="C18" s="343" t="s">
        <v>422</v>
      </c>
      <c r="D18" s="343" t="s">
        <v>365</v>
      </c>
      <c r="E18" s="340"/>
      <c r="F18" s="861" t="s">
        <v>753</v>
      </c>
      <c r="G18" s="865" t="s">
        <v>754</v>
      </c>
      <c r="H18" s="342" t="s">
        <v>755</v>
      </c>
      <c r="I18" s="840"/>
    </row>
    <row r="19" spans="1:9">
      <c r="A19" s="343" t="s">
        <v>505</v>
      </c>
      <c r="B19" s="805" t="s">
        <v>629</v>
      </c>
      <c r="C19" s="343" t="s">
        <v>422</v>
      </c>
      <c r="D19" s="343" t="s">
        <v>661</v>
      </c>
      <c r="E19" s="340"/>
      <c r="F19" s="861" t="s">
        <v>753</v>
      </c>
      <c r="G19" s="865" t="s">
        <v>756</v>
      </c>
      <c r="H19" s="342" t="s">
        <v>755</v>
      </c>
    </row>
    <row r="20" spans="1:9" s="1019" customFormat="1">
      <c r="A20" s="343" t="s">
        <v>505</v>
      </c>
      <c r="B20" s="805" t="s">
        <v>927</v>
      </c>
      <c r="C20" s="343" t="s">
        <v>926</v>
      </c>
      <c r="D20" s="343"/>
      <c r="E20" s="344" t="s">
        <v>928</v>
      </c>
      <c r="F20" s="861"/>
      <c r="G20" s="865"/>
      <c r="H20" s="342"/>
    </row>
    <row r="21" spans="1:9">
      <c r="A21" s="343" t="s">
        <v>186</v>
      </c>
      <c r="B21" s="743" t="s">
        <v>704</v>
      </c>
      <c r="C21" s="343" t="s">
        <v>423</v>
      </c>
      <c r="D21" s="343" t="s">
        <v>424</v>
      </c>
      <c r="E21" s="340"/>
      <c r="F21" s="341" t="s">
        <v>425</v>
      </c>
      <c r="G21" s="341" t="s">
        <v>426</v>
      </c>
      <c r="H21" s="342" t="s">
        <v>427</v>
      </c>
    </row>
    <row r="22" spans="1:9" s="12" customFormat="1">
      <c r="A22" s="1017" t="s">
        <v>930</v>
      </c>
      <c r="B22" s="1018" t="s">
        <v>931</v>
      </c>
      <c r="C22" s="1017" t="s">
        <v>186</v>
      </c>
      <c r="D22" s="1017" t="s">
        <v>932</v>
      </c>
      <c r="E22" s="340"/>
      <c r="F22" s="1025" t="s">
        <v>742</v>
      </c>
      <c r="G22" s="1025" t="s">
        <v>743</v>
      </c>
      <c r="H22" s="1025" t="s">
        <v>744</v>
      </c>
    </row>
    <row r="23" spans="1:9">
      <c r="A23" s="343" t="s">
        <v>404</v>
      </c>
      <c r="B23" s="339" t="s">
        <v>787</v>
      </c>
      <c r="C23" s="343" t="s">
        <v>404</v>
      </c>
      <c r="D23" s="343" t="s">
        <v>788</v>
      </c>
      <c r="E23" s="340" t="s">
        <v>419</v>
      </c>
      <c r="F23" s="341" t="s">
        <v>798</v>
      </c>
      <c r="G23" s="341" t="s">
        <v>799</v>
      </c>
      <c r="H23" s="342" t="s">
        <v>800</v>
      </c>
    </row>
    <row r="24" spans="1:9" s="840" customFormat="1">
      <c r="A24" s="343" t="s">
        <v>404</v>
      </c>
      <c r="B24" s="339" t="s">
        <v>789</v>
      </c>
      <c r="C24" s="343" t="s">
        <v>404</v>
      </c>
      <c r="D24" s="343" t="s">
        <v>790</v>
      </c>
      <c r="E24" s="340"/>
      <c r="F24" s="341" t="s">
        <v>801</v>
      </c>
      <c r="G24" s="341" t="s">
        <v>802</v>
      </c>
      <c r="H24" s="342" t="s">
        <v>803</v>
      </c>
    </row>
    <row r="25" spans="1:9">
      <c r="A25" s="338" t="s">
        <v>402</v>
      </c>
      <c r="B25" s="339" t="s">
        <v>633</v>
      </c>
      <c r="C25" s="338" t="s">
        <v>402</v>
      </c>
      <c r="D25" s="346" t="s">
        <v>634</v>
      </c>
      <c r="E25" s="340" t="s">
        <v>419</v>
      </c>
      <c r="F25" s="341" t="s">
        <v>804</v>
      </c>
      <c r="G25" s="341" t="s">
        <v>805</v>
      </c>
      <c r="H25" s="342" t="s">
        <v>806</v>
      </c>
    </row>
    <row r="26" spans="1:9" s="840" customFormat="1">
      <c r="A26" s="343" t="s">
        <v>402</v>
      </c>
      <c r="B26" s="339" t="s">
        <v>633</v>
      </c>
      <c r="C26" s="343" t="s">
        <v>402</v>
      </c>
      <c r="D26" s="343" t="s">
        <v>793</v>
      </c>
      <c r="E26" s="340" t="s">
        <v>794</v>
      </c>
      <c r="F26" s="341" t="s">
        <v>804</v>
      </c>
      <c r="G26" s="341" t="s">
        <v>805</v>
      </c>
      <c r="H26" s="342" t="s">
        <v>806</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595</v>
      </c>
      <c r="B1" s="721" t="s">
        <v>596</v>
      </c>
      <c r="C1" s="721" t="s">
        <v>598</v>
      </c>
      <c r="D1" s="721" t="s">
        <v>597</v>
      </c>
    </row>
    <row r="2" spans="1:4">
      <c r="A2" t="s">
        <v>615</v>
      </c>
      <c r="B2" s="719">
        <v>41877</v>
      </c>
      <c r="C2" t="s">
        <v>620</v>
      </c>
      <c r="D2" s="734" t="s">
        <v>616</v>
      </c>
    </row>
    <row r="3" spans="1:4">
      <c r="A3" t="s">
        <v>615</v>
      </c>
      <c r="B3" s="719">
        <v>41877</v>
      </c>
      <c r="C3" t="s">
        <v>618</v>
      </c>
      <c r="D3" s="720" t="s">
        <v>617</v>
      </c>
    </row>
    <row r="4" spans="1:4">
      <c r="A4" t="s">
        <v>615</v>
      </c>
      <c r="B4" s="719">
        <v>41877</v>
      </c>
      <c r="C4" t="s">
        <v>619</v>
      </c>
      <c r="D4" s="734" t="s">
        <v>621</v>
      </c>
    </row>
    <row r="5" spans="1:4">
      <c r="A5" t="s">
        <v>615</v>
      </c>
      <c r="B5" s="719">
        <v>41877</v>
      </c>
      <c r="C5" t="s">
        <v>622</v>
      </c>
      <c r="D5" s="720" t="s">
        <v>623</v>
      </c>
    </row>
    <row r="6" spans="1:4">
      <c r="A6" t="s">
        <v>615</v>
      </c>
      <c r="B6" s="719">
        <v>41883</v>
      </c>
      <c r="C6" t="s">
        <v>637</v>
      </c>
      <c r="D6" s="720" t="s">
        <v>638</v>
      </c>
    </row>
    <row r="7" spans="1:4">
      <c r="A7" t="s">
        <v>615</v>
      </c>
      <c r="B7" s="719">
        <v>41885</v>
      </c>
      <c r="C7" t="s">
        <v>653</v>
      </c>
      <c r="D7" s="720" t="s">
        <v>652</v>
      </c>
    </row>
    <row r="8" spans="1:4">
      <c r="A8" t="s">
        <v>615</v>
      </c>
      <c r="B8" s="719">
        <v>41885</v>
      </c>
      <c r="C8" t="s">
        <v>653</v>
      </c>
      <c r="D8" s="720" t="s">
        <v>654</v>
      </c>
    </row>
    <row r="9" spans="1:4">
      <c r="A9" t="s">
        <v>615</v>
      </c>
      <c r="B9" s="719">
        <v>41892</v>
      </c>
      <c r="C9" t="s">
        <v>655</v>
      </c>
      <c r="D9" s="720" t="s">
        <v>656</v>
      </c>
    </row>
    <row r="10" spans="1:4">
      <c r="A10" t="s">
        <v>615</v>
      </c>
      <c r="B10" s="719">
        <v>41892</v>
      </c>
      <c r="C10" t="s">
        <v>657</v>
      </c>
      <c r="D10" s="720" t="s">
        <v>658</v>
      </c>
    </row>
    <row r="11" spans="1:4">
      <c r="A11" t="s">
        <v>615</v>
      </c>
      <c r="B11" s="719">
        <v>41892</v>
      </c>
      <c r="C11" t="s">
        <v>667</v>
      </c>
      <c r="D11" s="720" t="s">
        <v>666</v>
      </c>
    </row>
    <row r="12" spans="1:4">
      <c r="A12" t="s">
        <v>615</v>
      </c>
      <c r="B12" s="833">
        <v>41914</v>
      </c>
      <c r="C12" s="835" t="s">
        <v>674</v>
      </c>
      <c r="D12" s="834" t="s">
        <v>668</v>
      </c>
    </row>
    <row r="13" spans="1:4">
      <c r="A13" t="s">
        <v>615</v>
      </c>
      <c r="B13" s="833">
        <v>41914</v>
      </c>
      <c r="C13" s="835" t="s">
        <v>675</v>
      </c>
      <c r="D13" s="834" t="s">
        <v>669</v>
      </c>
    </row>
    <row r="14" spans="1:4">
      <c r="A14" t="s">
        <v>615</v>
      </c>
      <c r="B14" s="833">
        <v>41914</v>
      </c>
      <c r="C14" s="832" t="s">
        <v>670</v>
      </c>
      <c r="D14" s="834" t="s">
        <v>671</v>
      </c>
    </row>
    <row r="15" spans="1:4">
      <c r="A15" t="s">
        <v>615</v>
      </c>
      <c r="B15" s="833">
        <v>41914</v>
      </c>
      <c r="C15" s="832" t="s">
        <v>672</v>
      </c>
      <c r="D15" s="834" t="s">
        <v>673</v>
      </c>
    </row>
    <row r="16" spans="1:4">
      <c r="A16" t="s">
        <v>615</v>
      </c>
      <c r="B16" s="837">
        <v>41914</v>
      </c>
      <c r="C16" s="836" t="s">
        <v>676</v>
      </c>
      <c r="D16" s="734" t="s">
        <v>677</v>
      </c>
    </row>
    <row r="17" spans="1:4">
      <c r="A17" s="840" t="s">
        <v>615</v>
      </c>
      <c r="B17" s="837">
        <v>41914</v>
      </c>
      <c r="C17" t="s">
        <v>691</v>
      </c>
      <c r="D17" s="839" t="s">
        <v>678</v>
      </c>
    </row>
    <row r="18" spans="1:4">
      <c r="A18" s="840" t="s">
        <v>615</v>
      </c>
      <c r="B18" s="837">
        <v>41914</v>
      </c>
      <c r="C18" t="s">
        <v>679</v>
      </c>
      <c r="D18" s="846" t="s">
        <v>680</v>
      </c>
    </row>
    <row r="19" spans="1:4">
      <c r="A19" s="840" t="s">
        <v>615</v>
      </c>
      <c r="B19" s="837">
        <v>41914</v>
      </c>
      <c r="C19" t="s">
        <v>681</v>
      </c>
      <c r="D19" s="846" t="s">
        <v>682</v>
      </c>
    </row>
    <row r="20" spans="1:4">
      <c r="A20" s="840" t="s">
        <v>615</v>
      </c>
      <c r="B20" s="837">
        <v>41914</v>
      </c>
      <c r="C20" t="s">
        <v>692</v>
      </c>
      <c r="D20" s="846" t="s">
        <v>683</v>
      </c>
    </row>
    <row r="21" spans="1:4">
      <c r="A21" s="840" t="s">
        <v>615</v>
      </c>
      <c r="B21" s="837">
        <v>41914</v>
      </c>
      <c r="C21" t="s">
        <v>684</v>
      </c>
      <c r="D21" s="845" t="s">
        <v>689</v>
      </c>
    </row>
    <row r="22" spans="1:4">
      <c r="A22" s="840" t="s">
        <v>615</v>
      </c>
      <c r="B22" s="837">
        <v>41914</v>
      </c>
      <c r="C22" t="s">
        <v>685</v>
      </c>
      <c r="D22" s="846" t="s">
        <v>686</v>
      </c>
    </row>
    <row r="23" spans="1:4">
      <c r="A23" s="840" t="s">
        <v>615</v>
      </c>
      <c r="B23" s="837">
        <v>41914</v>
      </c>
      <c r="C23" t="s">
        <v>690</v>
      </c>
      <c r="D23" s="846" t="s">
        <v>687</v>
      </c>
    </row>
    <row r="24" spans="1:4">
      <c r="A24" s="840" t="s">
        <v>615</v>
      </c>
      <c r="B24" s="837">
        <v>41925</v>
      </c>
      <c r="C24" t="s">
        <v>693</v>
      </c>
      <c r="D24" s="846" t="s">
        <v>694</v>
      </c>
    </row>
    <row r="25" spans="1:4">
      <c r="A25" t="s">
        <v>615</v>
      </c>
      <c r="B25" s="837">
        <v>41967</v>
      </c>
      <c r="C25" t="s">
        <v>699</v>
      </c>
      <c r="D25" s="845" t="s">
        <v>698</v>
      </c>
    </row>
    <row r="26" spans="1:4">
      <c r="A26" t="s">
        <v>700</v>
      </c>
      <c r="B26" s="837">
        <v>42275</v>
      </c>
      <c r="C26" t="s">
        <v>701</v>
      </c>
      <c r="D26" s="845" t="s">
        <v>707</v>
      </c>
    </row>
    <row r="27" spans="1:4">
      <c r="A27" t="s">
        <v>700</v>
      </c>
      <c r="B27" s="837">
        <v>42275</v>
      </c>
      <c r="C27" t="s">
        <v>702</v>
      </c>
      <c r="D27" s="845" t="s">
        <v>708</v>
      </c>
    </row>
    <row r="28" spans="1:4">
      <c r="A28" t="s">
        <v>700</v>
      </c>
      <c r="B28" s="837">
        <v>42275</v>
      </c>
      <c r="C28" t="s">
        <v>703</v>
      </c>
      <c r="D28" s="845" t="s">
        <v>709</v>
      </c>
    </row>
    <row r="29" spans="1:4">
      <c r="A29" t="s">
        <v>700</v>
      </c>
      <c r="B29" s="837">
        <v>42283</v>
      </c>
      <c r="C29" t="s">
        <v>710</v>
      </c>
      <c r="D29" s="846" t="s">
        <v>711</v>
      </c>
    </row>
    <row r="30" spans="1:4">
      <c r="A30" s="840" t="s">
        <v>727</v>
      </c>
      <c r="B30" s="849">
        <v>42538</v>
      </c>
      <c r="C30" s="849" t="s">
        <v>712</v>
      </c>
      <c r="D30" s="849"/>
    </row>
    <row r="31" spans="1:4">
      <c r="A31" s="840" t="s">
        <v>727</v>
      </c>
      <c r="B31" s="849">
        <v>42538</v>
      </c>
      <c r="C31" s="849" t="s">
        <v>713</v>
      </c>
      <c r="D31" s="850" t="s">
        <v>714</v>
      </c>
    </row>
    <row r="32" spans="1:4">
      <c r="A32" s="840" t="s">
        <v>727</v>
      </c>
      <c r="B32" s="849">
        <v>42538</v>
      </c>
      <c r="C32" s="849" t="s">
        <v>715</v>
      </c>
      <c r="D32" s="851" t="s">
        <v>716</v>
      </c>
    </row>
    <row r="33" spans="1:4">
      <c r="A33" s="840" t="s">
        <v>727</v>
      </c>
      <c r="B33" s="849">
        <v>42538</v>
      </c>
      <c r="C33" s="849" t="s">
        <v>717</v>
      </c>
      <c r="D33" s="850" t="s">
        <v>677</v>
      </c>
    </row>
    <row r="34" spans="1:4">
      <c r="A34" t="s">
        <v>738</v>
      </c>
      <c r="B34" s="719">
        <v>42877</v>
      </c>
      <c r="C34" s="840" t="s">
        <v>784</v>
      </c>
      <c r="D34" s="845" t="s">
        <v>739</v>
      </c>
    </row>
    <row r="35" spans="1:4">
      <c r="A35" s="840" t="s">
        <v>738</v>
      </c>
      <c r="B35" s="719">
        <v>42877</v>
      </c>
      <c r="C35" s="840" t="s">
        <v>785</v>
      </c>
      <c r="D35" s="846" t="s">
        <v>740</v>
      </c>
    </row>
    <row r="36" spans="1:4">
      <c r="A36" s="840" t="s">
        <v>738</v>
      </c>
      <c r="B36" s="719">
        <v>42877</v>
      </c>
      <c r="C36" s="840" t="s">
        <v>786</v>
      </c>
      <c r="D36" s="846" t="s">
        <v>741</v>
      </c>
    </row>
    <row r="37" spans="1:4">
      <c r="A37" t="s">
        <v>768</v>
      </c>
      <c r="B37" s="719">
        <v>43166</v>
      </c>
      <c r="C37" s="849" t="s">
        <v>769</v>
      </c>
      <c r="D37" s="846" t="s">
        <v>770</v>
      </c>
    </row>
    <row r="38" spans="1:4">
      <c r="A38" t="s">
        <v>768</v>
      </c>
      <c r="B38" s="719">
        <v>43166</v>
      </c>
      <c r="C38" s="849" t="s">
        <v>771</v>
      </c>
      <c r="D38" s="845" t="s">
        <v>772</v>
      </c>
    </row>
    <row r="39" spans="1:4">
      <c r="A39" t="s">
        <v>768</v>
      </c>
      <c r="B39" s="719">
        <v>43166</v>
      </c>
      <c r="C39" s="849" t="s">
        <v>773</v>
      </c>
      <c r="D39" s="845" t="s">
        <v>774</v>
      </c>
    </row>
    <row r="40" spans="1:4">
      <c r="A40" t="s">
        <v>768</v>
      </c>
      <c r="B40" s="719">
        <v>43166</v>
      </c>
      <c r="C40" s="849" t="s">
        <v>775</v>
      </c>
      <c r="D40" s="845" t="s">
        <v>776</v>
      </c>
    </row>
    <row r="41" spans="1:4">
      <c r="A41" t="s">
        <v>768</v>
      </c>
      <c r="B41" s="719">
        <v>43278</v>
      </c>
      <c r="C41" s="849" t="s">
        <v>807</v>
      </c>
    </row>
    <row r="42" spans="1:4">
      <c r="A42" t="s">
        <v>809</v>
      </c>
      <c r="B42" s="719">
        <v>43424</v>
      </c>
      <c r="C42" s="849" t="s">
        <v>808</v>
      </c>
    </row>
    <row r="43" spans="1:4">
      <c r="A43" t="s">
        <v>853</v>
      </c>
      <c r="B43" s="719">
        <v>43573</v>
      </c>
      <c r="C43" s="849" t="s">
        <v>854</v>
      </c>
    </row>
    <row r="44" spans="1:4">
      <c r="A44" t="s">
        <v>875</v>
      </c>
      <c r="B44" s="719">
        <v>43678</v>
      </c>
      <c r="C44" s="849" t="s">
        <v>876</v>
      </c>
      <c r="D44" s="845" t="s">
        <v>698</v>
      </c>
    </row>
    <row r="45" spans="1:4">
      <c r="A45" t="s">
        <v>880</v>
      </c>
      <c r="B45" s="999">
        <v>43930</v>
      </c>
      <c r="C45" s="1004" t="s">
        <v>877</v>
      </c>
      <c r="D45" s="998" t="s">
        <v>878</v>
      </c>
    </row>
    <row r="46" spans="1:4">
      <c r="A46" s="997" t="s">
        <v>880</v>
      </c>
      <c r="B46" s="999">
        <v>43930</v>
      </c>
      <c r="C46" s="1004" t="s">
        <v>879</v>
      </c>
      <c r="D46" s="998" t="s">
        <v>878</v>
      </c>
    </row>
    <row r="47" spans="1:4">
      <c r="A47" s="1001" t="s">
        <v>880</v>
      </c>
      <c r="B47" s="1002">
        <v>43943</v>
      </c>
      <c r="C47" t="s">
        <v>884</v>
      </c>
      <c r="D47" s="1005" t="s">
        <v>739</v>
      </c>
    </row>
    <row r="48" spans="1:4">
      <c r="A48" s="1004" t="s">
        <v>880</v>
      </c>
      <c r="B48" s="1006">
        <v>43943</v>
      </c>
      <c r="C48" t="s">
        <v>882</v>
      </c>
      <c r="D48" s="1007" t="s">
        <v>740</v>
      </c>
    </row>
    <row r="49" spans="1:4">
      <c r="A49" s="1004" t="s">
        <v>880</v>
      </c>
      <c r="B49" s="1006">
        <v>43943</v>
      </c>
      <c r="C49" t="s">
        <v>883</v>
      </c>
      <c r="D49" s="1007" t="s">
        <v>741</v>
      </c>
    </row>
    <row r="50" spans="1:4">
      <c r="A50" s="1004" t="s">
        <v>880</v>
      </c>
      <c r="B50" s="1006">
        <v>43943</v>
      </c>
      <c r="C50" t="s">
        <v>885</v>
      </c>
      <c r="D50" s="1007" t="s">
        <v>886</v>
      </c>
    </row>
    <row r="51" spans="1:4">
      <c r="A51" t="s">
        <v>880</v>
      </c>
      <c r="B51" s="1006">
        <v>43951</v>
      </c>
      <c r="C51" t="s">
        <v>887</v>
      </c>
      <c r="D51" s="1007" t="s">
        <v>888</v>
      </c>
    </row>
    <row r="52" spans="1:4">
      <c r="A52" t="s">
        <v>890</v>
      </c>
      <c r="B52" s="1006">
        <v>44315</v>
      </c>
      <c r="C52" t="s">
        <v>891</v>
      </c>
      <c r="D52" s="1005" t="s">
        <v>707</v>
      </c>
    </row>
    <row r="53" spans="1:4">
      <c r="A53" s="1019" t="s">
        <v>890</v>
      </c>
      <c r="B53" s="1020">
        <v>44326</v>
      </c>
      <c r="C53" s="1023" t="s">
        <v>902</v>
      </c>
      <c r="D53" s="1022" t="s">
        <v>903</v>
      </c>
    </row>
    <row r="54" spans="1:4">
      <c r="A54" s="1019" t="s">
        <v>890</v>
      </c>
      <c r="B54" s="1020">
        <v>44326</v>
      </c>
      <c r="C54" s="1023" t="s">
        <v>904</v>
      </c>
      <c r="D54" s="1022" t="s">
        <v>905</v>
      </c>
    </row>
    <row r="55" spans="1:4">
      <c r="A55" s="1019" t="s">
        <v>890</v>
      </c>
      <c r="B55" s="1020">
        <v>44326</v>
      </c>
      <c r="C55" s="1023" t="s">
        <v>906</v>
      </c>
      <c r="D55" s="1021" t="s">
        <v>740</v>
      </c>
    </row>
    <row r="56" spans="1:4">
      <c r="A56" s="1019" t="s">
        <v>890</v>
      </c>
      <c r="B56" s="1020">
        <v>44326</v>
      </c>
      <c r="C56" s="1023" t="s">
        <v>907</v>
      </c>
      <c r="D56" s="1022" t="s">
        <v>739</v>
      </c>
    </row>
    <row r="57" spans="1:4">
      <c r="A57" t="s">
        <v>922</v>
      </c>
      <c r="B57" s="1020">
        <v>44699</v>
      </c>
      <c r="C57" s="1023" t="s">
        <v>923</v>
      </c>
    </row>
    <row r="58" spans="1:4">
      <c r="A58" s="1019" t="s">
        <v>922</v>
      </c>
      <c r="B58" s="719">
        <v>44768</v>
      </c>
      <c r="C58" s="1026" t="s">
        <v>933</v>
      </c>
      <c r="D58" s="1021" t="s">
        <v>740</v>
      </c>
    </row>
    <row r="59" spans="1:4">
      <c r="A59" s="1019" t="s">
        <v>922</v>
      </c>
      <c r="B59" s="719">
        <v>44768</v>
      </c>
      <c r="C59" s="1026" t="s">
        <v>934</v>
      </c>
      <c r="D59" s="1022" t="s">
        <v>739</v>
      </c>
    </row>
    <row r="60" spans="1:4">
      <c r="A60" s="1019" t="s">
        <v>922</v>
      </c>
      <c r="B60" s="719">
        <v>44768</v>
      </c>
      <c r="C60" s="719" t="s">
        <v>937</v>
      </c>
      <c r="D60" s="1022" t="s">
        <v>938</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551</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137159.53237751211</v>
      </c>
      <c r="C4" s="447">
        <f>huishoudens!C8</f>
        <v>0</v>
      </c>
      <c r="D4" s="447">
        <f>huishoudens!D8</f>
        <v>298839.21075800003</v>
      </c>
      <c r="E4" s="447">
        <f>huishoudens!E8</f>
        <v>6792.2380447565256</v>
      </c>
      <c r="F4" s="447">
        <f>huishoudens!F8</f>
        <v>207075.61810801981</v>
      </c>
      <c r="G4" s="447">
        <f>huishoudens!G8</f>
        <v>0</v>
      </c>
      <c r="H4" s="447">
        <f>huishoudens!H8</f>
        <v>0</v>
      </c>
      <c r="I4" s="447">
        <f>huishoudens!I8</f>
        <v>0</v>
      </c>
      <c r="J4" s="447">
        <f>huishoudens!J8</f>
        <v>3757.3149359335757</v>
      </c>
      <c r="K4" s="447">
        <f>huishoudens!K8</f>
        <v>0</v>
      </c>
      <c r="L4" s="447">
        <f>huishoudens!L8</f>
        <v>0</v>
      </c>
      <c r="M4" s="447">
        <f>huishoudens!M8</f>
        <v>0</v>
      </c>
      <c r="N4" s="447">
        <f>huishoudens!N8</f>
        <v>48162.016787240434</v>
      </c>
      <c r="O4" s="447">
        <f>huishoudens!O8</f>
        <v>364.25666666666666</v>
      </c>
      <c r="P4" s="448">
        <f>huishoudens!P8</f>
        <v>1372.8</v>
      </c>
      <c r="Q4" s="449">
        <f>SUM(B4:P4)</f>
        <v>703522.98767812923</v>
      </c>
    </row>
    <row r="5" spans="1:17">
      <c r="A5" s="446" t="s">
        <v>149</v>
      </c>
      <c r="B5" s="447">
        <f ca="1">tertiair!B16</f>
        <v>199825.68400000001</v>
      </c>
      <c r="C5" s="447">
        <f ca="1">tertiair!C16</f>
        <v>2858.7857142857142</v>
      </c>
      <c r="D5" s="447">
        <f ca="1">tertiair!D16</f>
        <v>188138.77846742858</v>
      </c>
      <c r="E5" s="447">
        <f>tertiair!E16</f>
        <v>1563.7385695254441</v>
      </c>
      <c r="F5" s="447">
        <f ca="1">tertiair!F16</f>
        <v>39697.674242330919</v>
      </c>
      <c r="G5" s="447">
        <f>tertiair!G16</f>
        <v>0</v>
      </c>
      <c r="H5" s="447">
        <f>tertiair!H16</f>
        <v>0</v>
      </c>
      <c r="I5" s="447">
        <f>tertiair!I16</f>
        <v>0</v>
      </c>
      <c r="J5" s="447">
        <f>tertiair!J16</f>
        <v>0</v>
      </c>
      <c r="K5" s="447">
        <f>tertiair!K16</f>
        <v>0</v>
      </c>
      <c r="L5" s="447">
        <f ca="1">tertiair!L16</f>
        <v>0</v>
      </c>
      <c r="M5" s="447">
        <f>tertiair!M16</f>
        <v>0</v>
      </c>
      <c r="N5" s="447">
        <f ca="1">tertiair!N16</f>
        <v>5088.6824657758807</v>
      </c>
      <c r="O5" s="447">
        <f>tertiair!O16</f>
        <v>3.1266666666666669</v>
      </c>
      <c r="P5" s="448">
        <f>tertiair!P16</f>
        <v>152.53333333333333</v>
      </c>
      <c r="Q5" s="446">
        <f t="shared" ref="Q5:Q14" ca="1" si="0">SUM(B5:P5)</f>
        <v>437329.00345934654</v>
      </c>
    </row>
    <row r="6" spans="1:17">
      <c r="A6" s="446" t="s">
        <v>187</v>
      </c>
      <c r="B6" s="447">
        <f>'openbare verlichting'!B8</f>
        <v>4953.4170000000004</v>
      </c>
      <c r="C6" s="447"/>
      <c r="D6" s="447"/>
      <c r="E6" s="447"/>
      <c r="F6" s="447"/>
      <c r="G6" s="447"/>
      <c r="H6" s="447"/>
      <c r="I6" s="447"/>
      <c r="J6" s="447"/>
      <c r="K6" s="447"/>
      <c r="L6" s="447"/>
      <c r="M6" s="447"/>
      <c r="N6" s="447"/>
      <c r="O6" s="447"/>
      <c r="P6" s="448"/>
      <c r="Q6" s="446">
        <f t="shared" si="0"/>
        <v>4953.4170000000004</v>
      </c>
    </row>
    <row r="7" spans="1:17">
      <c r="A7" s="446" t="s">
        <v>105</v>
      </c>
      <c r="B7" s="447">
        <f>landbouw!B8</f>
        <v>3383.6849999999999</v>
      </c>
      <c r="C7" s="447">
        <f>landbouw!C8</f>
        <v>0</v>
      </c>
      <c r="D7" s="447">
        <f>landbouw!D8</f>
        <v>2317.3931440000001</v>
      </c>
      <c r="E7" s="447">
        <f>landbouw!E8</f>
        <v>33.414505234114245</v>
      </c>
      <c r="F7" s="447">
        <f>landbouw!F8</f>
        <v>11288.868476178935</v>
      </c>
      <c r="G7" s="447">
        <f>landbouw!G8</f>
        <v>0</v>
      </c>
      <c r="H7" s="447">
        <f>landbouw!H8</f>
        <v>0</v>
      </c>
      <c r="I7" s="447">
        <f>landbouw!I8</f>
        <v>0</v>
      </c>
      <c r="J7" s="447">
        <f>landbouw!J8</f>
        <v>337.58906087341342</v>
      </c>
      <c r="K7" s="447">
        <f>landbouw!K8</f>
        <v>0</v>
      </c>
      <c r="L7" s="447">
        <f>landbouw!L8</f>
        <v>0</v>
      </c>
      <c r="M7" s="447">
        <f>landbouw!M8</f>
        <v>0</v>
      </c>
      <c r="N7" s="447">
        <f>landbouw!N8</f>
        <v>0</v>
      </c>
      <c r="O7" s="447">
        <f>landbouw!O8</f>
        <v>0</v>
      </c>
      <c r="P7" s="448">
        <f>landbouw!P8</f>
        <v>0</v>
      </c>
      <c r="Q7" s="446">
        <f t="shared" si="0"/>
        <v>17360.950186286464</v>
      </c>
    </row>
    <row r="8" spans="1:17">
      <c r="A8" s="446" t="s">
        <v>642</v>
      </c>
      <c r="B8" s="447">
        <f>industrie!B18</f>
        <v>69428.551000000007</v>
      </c>
      <c r="C8" s="447">
        <f>industrie!C18</f>
        <v>321.42857142857144</v>
      </c>
      <c r="D8" s="447">
        <f>industrie!D18</f>
        <v>95071.363811142874</v>
      </c>
      <c r="E8" s="447">
        <f>industrie!E18</f>
        <v>839.22316727889245</v>
      </c>
      <c r="F8" s="447">
        <f>industrie!F18</f>
        <v>33804.569876145426</v>
      </c>
      <c r="G8" s="447">
        <f>industrie!G18</f>
        <v>0</v>
      </c>
      <c r="H8" s="447">
        <f>industrie!H18</f>
        <v>0</v>
      </c>
      <c r="I8" s="447">
        <f>industrie!I18</f>
        <v>0</v>
      </c>
      <c r="J8" s="447">
        <f>industrie!J18</f>
        <v>159.91296162691609</v>
      </c>
      <c r="K8" s="447">
        <f>industrie!K18</f>
        <v>0</v>
      </c>
      <c r="L8" s="447">
        <f>industrie!L18</f>
        <v>0</v>
      </c>
      <c r="M8" s="447">
        <f>industrie!M18</f>
        <v>0</v>
      </c>
      <c r="N8" s="447">
        <f>industrie!N18</f>
        <v>4341.8786544085615</v>
      </c>
      <c r="O8" s="447">
        <f>industrie!O18</f>
        <v>0</v>
      </c>
      <c r="P8" s="448">
        <f>industrie!P18</f>
        <v>0</v>
      </c>
      <c r="Q8" s="446">
        <f t="shared" si="0"/>
        <v>203966.92804203124</v>
      </c>
    </row>
    <row r="9" spans="1:17" s="452" customFormat="1">
      <c r="A9" s="450" t="s">
        <v>562</v>
      </c>
      <c r="B9" s="451">
        <f>transport!B14</f>
        <v>26.413148672981933</v>
      </c>
      <c r="C9" s="451">
        <f>transport!C14</f>
        <v>0</v>
      </c>
      <c r="D9" s="451">
        <f>transport!D14</f>
        <v>32.145715043702126</v>
      </c>
      <c r="E9" s="451">
        <f>transport!E14</f>
        <v>2199.506386672093</v>
      </c>
      <c r="F9" s="451">
        <f>transport!F14</f>
        <v>0</v>
      </c>
      <c r="G9" s="451">
        <f>transport!G14</f>
        <v>458075.28513327852</v>
      </c>
      <c r="H9" s="451">
        <f>transport!H14</f>
        <v>83359.760699679391</v>
      </c>
      <c r="I9" s="451">
        <f>transport!I14</f>
        <v>0</v>
      </c>
      <c r="J9" s="451">
        <f>transport!J14</f>
        <v>0</v>
      </c>
      <c r="K9" s="451">
        <f>transport!K14</f>
        <v>0</v>
      </c>
      <c r="L9" s="451">
        <f>transport!L14</f>
        <v>0</v>
      </c>
      <c r="M9" s="451">
        <f>transport!M14</f>
        <v>24200.696417003353</v>
      </c>
      <c r="N9" s="451">
        <f>transport!N14</f>
        <v>0</v>
      </c>
      <c r="O9" s="451">
        <f>transport!O14</f>
        <v>0</v>
      </c>
      <c r="P9" s="451">
        <f>transport!P14</f>
        <v>0</v>
      </c>
      <c r="Q9" s="450">
        <f>SUM(B9:P9)</f>
        <v>567893.80750035006</v>
      </c>
    </row>
    <row r="10" spans="1:17">
      <c r="A10" s="446" t="s">
        <v>552</v>
      </c>
      <c r="B10" s="447">
        <f>transport!B54</f>
        <v>91.372194413806838</v>
      </c>
      <c r="C10" s="447">
        <f>transport!C54</f>
        <v>0</v>
      </c>
      <c r="D10" s="447">
        <f>transport!D54</f>
        <v>0</v>
      </c>
      <c r="E10" s="447">
        <f>transport!E54</f>
        <v>0</v>
      </c>
      <c r="F10" s="447">
        <f>transport!F54</f>
        <v>0</v>
      </c>
      <c r="G10" s="447">
        <f>transport!G54</f>
        <v>18224.364826863432</v>
      </c>
      <c r="H10" s="447">
        <f>transport!H54</f>
        <v>0</v>
      </c>
      <c r="I10" s="447">
        <f>transport!I54</f>
        <v>0</v>
      </c>
      <c r="J10" s="447">
        <f>transport!J54</f>
        <v>0</v>
      </c>
      <c r="K10" s="447">
        <f>transport!K54</f>
        <v>0</v>
      </c>
      <c r="L10" s="447">
        <f>transport!L54</f>
        <v>0</v>
      </c>
      <c r="M10" s="447">
        <f>transport!M54</f>
        <v>805.49751561653284</v>
      </c>
      <c r="N10" s="447">
        <f>transport!N54</f>
        <v>0</v>
      </c>
      <c r="O10" s="447">
        <f>transport!O54</f>
        <v>0</v>
      </c>
      <c r="P10" s="448">
        <f>transport!P54</f>
        <v>0</v>
      </c>
      <c r="Q10" s="446">
        <f t="shared" si="0"/>
        <v>19121.234536893768</v>
      </c>
    </row>
    <row r="11" spans="1:17">
      <c r="A11" s="446" t="s">
        <v>553</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554</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555</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852</v>
      </c>
      <c r="B14" s="454">
        <f>'SEAP template'!C25</f>
        <v>5435.0839999999998</v>
      </c>
      <c r="C14" s="454"/>
      <c r="D14" s="454">
        <f>'SEAP template'!E25</f>
        <v>27761.11</v>
      </c>
      <c r="E14" s="454"/>
      <c r="F14" s="454"/>
      <c r="G14" s="454"/>
      <c r="H14" s="454"/>
      <c r="I14" s="454"/>
      <c r="J14" s="454"/>
      <c r="K14" s="454"/>
      <c r="L14" s="454"/>
      <c r="M14" s="454"/>
      <c r="N14" s="454"/>
      <c r="O14" s="454"/>
      <c r="P14" s="455"/>
      <c r="Q14" s="446">
        <f t="shared" si="0"/>
        <v>33196.194000000003</v>
      </c>
    </row>
    <row r="15" spans="1:17" s="459" customFormat="1">
      <c r="A15" s="456" t="s">
        <v>556</v>
      </c>
      <c r="B15" s="457">
        <f ca="1">SUM(B4:B14)</f>
        <v>420303.73872059886</v>
      </c>
      <c r="C15" s="457">
        <f t="shared" ref="C15:Q15" ca="1" si="1">SUM(C4:C14)</f>
        <v>3180.2142857142858</v>
      </c>
      <c r="D15" s="457">
        <f t="shared" ca="1" si="1"/>
        <v>612160.00189561513</v>
      </c>
      <c r="E15" s="457">
        <f t="shared" si="1"/>
        <v>11428.12067346707</v>
      </c>
      <c r="F15" s="457">
        <f t="shared" ca="1" si="1"/>
        <v>291866.73070267506</v>
      </c>
      <c r="G15" s="457">
        <f t="shared" si="1"/>
        <v>476299.64996014198</v>
      </c>
      <c r="H15" s="457">
        <f t="shared" si="1"/>
        <v>83359.760699679391</v>
      </c>
      <c r="I15" s="457">
        <f t="shared" si="1"/>
        <v>0</v>
      </c>
      <c r="J15" s="457">
        <f t="shared" si="1"/>
        <v>4254.8169584339057</v>
      </c>
      <c r="K15" s="457">
        <f t="shared" si="1"/>
        <v>0</v>
      </c>
      <c r="L15" s="457">
        <f t="shared" ca="1" si="1"/>
        <v>0</v>
      </c>
      <c r="M15" s="457">
        <f t="shared" si="1"/>
        <v>25006.193932619884</v>
      </c>
      <c r="N15" s="457">
        <f t="shared" ca="1" si="1"/>
        <v>57592.577907424871</v>
      </c>
      <c r="O15" s="457">
        <f t="shared" si="1"/>
        <v>367.38333333333333</v>
      </c>
      <c r="P15" s="457">
        <f t="shared" si="1"/>
        <v>1525.3333333333333</v>
      </c>
      <c r="Q15" s="457">
        <f t="shared" ca="1" si="1"/>
        <v>1987344.5224030367</v>
      </c>
    </row>
    <row r="17" spans="1:17">
      <c r="A17" s="460" t="s">
        <v>557</v>
      </c>
      <c r="B17" s="729">
        <f ca="1">huishoudens!B10</f>
        <v>0.2025936153876903</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559</v>
      </c>
      <c r="B19" s="1122" t="s">
        <v>558</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27787.645549245142</v>
      </c>
      <c r="C22" s="447">
        <f t="shared" ref="C22:C32" ca="1" si="3">C4*$C$17</f>
        <v>0</v>
      </c>
      <c r="D22" s="447">
        <f t="shared" ref="D22:D32" si="4">D4*$D$17</f>
        <v>60365.520573116009</v>
      </c>
      <c r="E22" s="447">
        <f t="shared" ref="E22:E32" si="5">E4*$E$17</f>
        <v>1541.8380361597315</v>
      </c>
      <c r="F22" s="447">
        <f t="shared" ref="F22:F32" si="6">F4*$F$17</f>
        <v>55289.190034841296</v>
      </c>
      <c r="G22" s="447">
        <f t="shared" ref="G22:G32" si="7">G4*$G$17</f>
        <v>0</v>
      </c>
      <c r="H22" s="447">
        <f t="shared" ref="H22:H32" si="8">H4*$H$17</f>
        <v>0</v>
      </c>
      <c r="I22" s="447">
        <f t="shared" ref="I22:I32" si="9">I4*$I$17</f>
        <v>0</v>
      </c>
      <c r="J22" s="447">
        <f t="shared" ref="J22:J32" si="10">J4*$J$17</f>
        <v>1330.0894873204857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146314.28368068265</v>
      </c>
    </row>
    <row r="23" spans="1:17">
      <c r="A23" s="446" t="s">
        <v>149</v>
      </c>
      <c r="B23" s="447">
        <f t="shared" ca="1" si="2"/>
        <v>40483.40776887814</v>
      </c>
      <c r="C23" s="447">
        <f t="shared" ca="1" si="3"/>
        <v>679.38201680672285</v>
      </c>
      <c r="D23" s="447">
        <f t="shared" ca="1" si="4"/>
        <v>38004.033250420573</v>
      </c>
      <c r="E23" s="447">
        <f t="shared" si="5"/>
        <v>354.96865528227579</v>
      </c>
      <c r="F23" s="447">
        <f t="shared" ca="1" si="6"/>
        <v>10599.279022702356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90121.070714090063</v>
      </c>
    </row>
    <row r="24" spans="1:17">
      <c r="A24" s="446" t="s">
        <v>187</v>
      </c>
      <c r="B24" s="447">
        <f t="shared" ca="1" si="2"/>
        <v>1003.5306585528468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1003.5306585528468</v>
      </c>
    </row>
    <row r="25" spans="1:17">
      <c r="A25" s="446" t="s">
        <v>105</v>
      </c>
      <c r="B25" s="447">
        <f t="shared" ca="1" si="2"/>
        <v>685.51297748309685</v>
      </c>
      <c r="C25" s="447">
        <f t="shared" ca="1" si="3"/>
        <v>0</v>
      </c>
      <c r="D25" s="447">
        <f t="shared" si="4"/>
        <v>468.11341508800007</v>
      </c>
      <c r="E25" s="447">
        <f t="shared" si="5"/>
        <v>7.5850926881439333</v>
      </c>
      <c r="F25" s="447">
        <f t="shared" si="6"/>
        <v>3014.1278831397758</v>
      </c>
      <c r="G25" s="447">
        <f t="shared" si="7"/>
        <v>0</v>
      </c>
      <c r="H25" s="447">
        <f t="shared" si="8"/>
        <v>0</v>
      </c>
      <c r="I25" s="447">
        <f t="shared" si="9"/>
        <v>0</v>
      </c>
      <c r="J25" s="447">
        <f t="shared" si="10"/>
        <v>119.50652754918835</v>
      </c>
      <c r="K25" s="447">
        <f t="shared" si="11"/>
        <v>0</v>
      </c>
      <c r="L25" s="447">
        <f t="shared" si="12"/>
        <v>0</v>
      </c>
      <c r="M25" s="447">
        <f t="shared" si="13"/>
        <v>0</v>
      </c>
      <c r="N25" s="447">
        <f t="shared" si="14"/>
        <v>0</v>
      </c>
      <c r="O25" s="447">
        <f t="shared" si="15"/>
        <v>0</v>
      </c>
      <c r="P25" s="448">
        <f t="shared" si="16"/>
        <v>0</v>
      </c>
      <c r="Q25" s="446">
        <f t="shared" ca="1" si="17"/>
        <v>4294.8458959482041</v>
      </c>
    </row>
    <row r="26" spans="1:17">
      <c r="A26" s="446" t="s">
        <v>642</v>
      </c>
      <c r="B26" s="447">
        <f t="shared" ca="1" si="2"/>
        <v>14065.781158218642</v>
      </c>
      <c r="C26" s="447">
        <f t="shared" ca="1" si="3"/>
        <v>76.386554621848759</v>
      </c>
      <c r="D26" s="447">
        <f t="shared" si="4"/>
        <v>19204.41548985086</v>
      </c>
      <c r="E26" s="447">
        <f t="shared" si="5"/>
        <v>190.50365897230859</v>
      </c>
      <c r="F26" s="447">
        <f t="shared" si="6"/>
        <v>9025.8201569308294</v>
      </c>
      <c r="G26" s="447">
        <f t="shared" si="7"/>
        <v>0</v>
      </c>
      <c r="H26" s="447">
        <f t="shared" si="8"/>
        <v>0</v>
      </c>
      <c r="I26" s="447">
        <f t="shared" si="9"/>
        <v>0</v>
      </c>
      <c r="J26" s="447">
        <f t="shared" si="10"/>
        <v>56.609188415928294</v>
      </c>
      <c r="K26" s="447">
        <f t="shared" si="11"/>
        <v>0</v>
      </c>
      <c r="L26" s="447">
        <f t="shared" si="12"/>
        <v>0</v>
      </c>
      <c r="M26" s="447">
        <f t="shared" si="13"/>
        <v>0</v>
      </c>
      <c r="N26" s="447">
        <f t="shared" si="14"/>
        <v>0</v>
      </c>
      <c r="O26" s="447">
        <f t="shared" si="15"/>
        <v>0</v>
      </c>
      <c r="P26" s="448">
        <f t="shared" si="16"/>
        <v>0</v>
      </c>
      <c r="Q26" s="446">
        <f t="shared" ca="1" si="17"/>
        <v>42619.51620701042</v>
      </c>
    </row>
    <row r="27" spans="1:17" s="452" customFormat="1">
      <c r="A27" s="450" t="s">
        <v>562</v>
      </c>
      <c r="B27" s="723">
        <f t="shared" ca="1" si="2"/>
        <v>5.3511352834319839</v>
      </c>
      <c r="C27" s="451">
        <f t="shared" ca="1" si="3"/>
        <v>0</v>
      </c>
      <c r="D27" s="451">
        <f t="shared" si="4"/>
        <v>6.4934344388278298</v>
      </c>
      <c r="E27" s="451">
        <f t="shared" si="5"/>
        <v>499.28794977456511</v>
      </c>
      <c r="F27" s="451">
        <f t="shared" si="6"/>
        <v>0</v>
      </c>
      <c r="G27" s="451">
        <f t="shared" si="7"/>
        <v>122306.10113058538</v>
      </c>
      <c r="H27" s="451">
        <f t="shared" si="8"/>
        <v>20756.580414220167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143573.81406430237</v>
      </c>
    </row>
    <row r="28" spans="1:17">
      <c r="A28" s="446" t="s">
        <v>552</v>
      </c>
      <c r="B28" s="447">
        <f t="shared" ca="1" si="2"/>
        <v>18.511423212200047</v>
      </c>
      <c r="C28" s="447">
        <f t="shared" ca="1" si="3"/>
        <v>0</v>
      </c>
      <c r="D28" s="447">
        <f t="shared" si="4"/>
        <v>0</v>
      </c>
      <c r="E28" s="447">
        <f t="shared" si="5"/>
        <v>0</v>
      </c>
      <c r="F28" s="447">
        <f t="shared" si="6"/>
        <v>0</v>
      </c>
      <c r="G28" s="447">
        <f t="shared" si="7"/>
        <v>4865.9054087725362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4884.4168319847367</v>
      </c>
    </row>
    <row r="29" spans="1:17">
      <c r="A29" s="446" t="s">
        <v>553</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554</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555</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852</v>
      </c>
      <c r="B32" s="447">
        <f t="shared" ca="1" si="2"/>
        <v>1101.1133174957893</v>
      </c>
      <c r="C32" s="447">
        <f t="shared" ca="1" si="3"/>
        <v>0</v>
      </c>
      <c r="D32" s="447">
        <f t="shared" si="4"/>
        <v>5607.7442200000005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6708.85753749579</v>
      </c>
    </row>
    <row r="33" spans="1:17" s="459" customFormat="1">
      <c r="A33" s="456" t="s">
        <v>556</v>
      </c>
      <c r="B33" s="457">
        <f ca="1">SUM(B22:B32)</f>
        <v>85150.853988369287</v>
      </c>
      <c r="C33" s="457">
        <f t="shared" ref="C33:Q33" ca="1" si="18">SUM(C22:C32)</f>
        <v>755.76857142857159</v>
      </c>
      <c r="D33" s="457">
        <f t="shared" ca="1" si="18"/>
        <v>123656.32038291427</v>
      </c>
      <c r="E33" s="457">
        <f t="shared" si="18"/>
        <v>2594.1833928770252</v>
      </c>
      <c r="F33" s="457">
        <f t="shared" ca="1" si="18"/>
        <v>77928.417097614263</v>
      </c>
      <c r="G33" s="457">
        <f t="shared" si="18"/>
        <v>127172.00653935791</v>
      </c>
      <c r="H33" s="457">
        <f t="shared" si="18"/>
        <v>20756.580414220167</v>
      </c>
      <c r="I33" s="457">
        <f t="shared" si="18"/>
        <v>0</v>
      </c>
      <c r="J33" s="457">
        <f t="shared" si="18"/>
        <v>1506.2052032856022</v>
      </c>
      <c r="K33" s="457">
        <f t="shared" si="18"/>
        <v>0</v>
      </c>
      <c r="L33" s="457">
        <f t="shared" ca="1" si="18"/>
        <v>0</v>
      </c>
      <c r="M33" s="457">
        <f t="shared" si="18"/>
        <v>0</v>
      </c>
      <c r="N33" s="457">
        <f t="shared" ca="1" si="18"/>
        <v>0</v>
      </c>
      <c r="O33" s="457">
        <f t="shared" si="18"/>
        <v>0</v>
      </c>
      <c r="P33" s="457">
        <f t="shared" si="18"/>
        <v>0</v>
      </c>
      <c r="Q33" s="457">
        <f t="shared" ca="1" si="18"/>
        <v>439520.33559006709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551</v>
      </c>
      <c r="B1" s="1131" t="s">
        <v>810</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811</v>
      </c>
      <c r="C4" s="877" t="s">
        <v>812</v>
      </c>
      <c r="D4" s="878" t="s">
        <v>813</v>
      </c>
      <c r="E4" s="879" t="s">
        <v>814</v>
      </c>
      <c r="F4" s="879" t="s">
        <v>815</v>
      </c>
      <c r="G4" s="880" t="s">
        <v>818</v>
      </c>
      <c r="H4" s="880" t="s">
        <v>818</v>
      </c>
      <c r="I4" s="880" t="s">
        <v>818</v>
      </c>
      <c r="J4" s="879" t="s">
        <v>817</v>
      </c>
      <c r="K4" s="880" t="s">
        <v>818</v>
      </c>
      <c r="L4" s="880" t="s">
        <v>818</v>
      </c>
      <c r="M4" s="880" t="s">
        <v>818</v>
      </c>
      <c r="N4" s="879" t="s">
        <v>819</v>
      </c>
      <c r="O4" s="881" t="s">
        <v>820</v>
      </c>
      <c r="P4" s="882" t="s">
        <v>821</v>
      </c>
      <c r="Q4" s="883"/>
    </row>
    <row r="5" spans="1:17" ht="124.35" customHeight="1">
      <c r="A5" s="884" t="s">
        <v>149</v>
      </c>
      <c r="B5" s="885" t="s">
        <v>822</v>
      </c>
      <c r="C5" s="886" t="s">
        <v>823</v>
      </c>
      <c r="D5" s="886" t="s">
        <v>824</v>
      </c>
      <c r="E5" s="887" t="s">
        <v>825</v>
      </c>
      <c r="F5" s="887" t="s">
        <v>826</v>
      </c>
      <c r="G5" s="888" t="s">
        <v>818</v>
      </c>
      <c r="H5" s="888" t="s">
        <v>818</v>
      </c>
      <c r="I5" s="888" t="s">
        <v>818</v>
      </c>
      <c r="J5" s="887" t="s">
        <v>827</v>
      </c>
      <c r="K5" s="880" t="s">
        <v>818</v>
      </c>
      <c r="L5" s="888" t="s">
        <v>818</v>
      </c>
      <c r="M5" s="888" t="s">
        <v>818</v>
      </c>
      <c r="N5" s="887" t="s">
        <v>828</v>
      </c>
      <c r="O5" s="889" t="s">
        <v>820</v>
      </c>
      <c r="P5" s="890" t="s">
        <v>821</v>
      </c>
      <c r="Q5" s="891"/>
    </row>
    <row r="6" spans="1:17" ht="124.35" customHeight="1">
      <c r="A6" s="884" t="s">
        <v>187</v>
      </c>
      <c r="B6" s="892" t="s">
        <v>829</v>
      </c>
      <c r="C6" s="893" t="s">
        <v>816</v>
      </c>
      <c r="D6" s="888" t="s">
        <v>816</v>
      </c>
      <c r="E6" s="888" t="s">
        <v>816</v>
      </c>
      <c r="F6" s="888" t="s">
        <v>816</v>
      </c>
      <c r="G6" s="888" t="s">
        <v>816</v>
      </c>
      <c r="H6" s="888" t="s">
        <v>816</v>
      </c>
      <c r="I6" s="888" t="s">
        <v>816</v>
      </c>
      <c r="J6" s="888" t="s">
        <v>816</v>
      </c>
      <c r="K6" s="888" t="s">
        <v>816</v>
      </c>
      <c r="L6" s="888" t="s">
        <v>816</v>
      </c>
      <c r="M6" s="888" t="s">
        <v>816</v>
      </c>
      <c r="N6" s="888" t="s">
        <v>816</v>
      </c>
      <c r="O6" s="894" t="s">
        <v>816</v>
      </c>
      <c r="P6" s="895" t="s">
        <v>816</v>
      </c>
      <c r="Q6" s="896"/>
    </row>
    <row r="7" spans="1:17" ht="124.35" customHeight="1">
      <c r="A7" s="884" t="s">
        <v>105</v>
      </c>
      <c r="B7" s="892" t="s">
        <v>829</v>
      </c>
      <c r="C7" s="886" t="s">
        <v>823</v>
      </c>
      <c r="D7" s="886" t="s">
        <v>824</v>
      </c>
      <c r="E7" s="887" t="s">
        <v>825</v>
      </c>
      <c r="F7" s="887" t="s">
        <v>826</v>
      </c>
      <c r="G7" s="888" t="s">
        <v>818</v>
      </c>
      <c r="H7" s="888" t="s">
        <v>818</v>
      </c>
      <c r="I7" s="888" t="s">
        <v>818</v>
      </c>
      <c r="J7" s="887" t="s">
        <v>827</v>
      </c>
      <c r="K7" s="888" t="s">
        <v>818</v>
      </c>
      <c r="L7" s="888" t="s">
        <v>818</v>
      </c>
      <c r="M7" s="888" t="s">
        <v>818</v>
      </c>
      <c r="N7" s="897" t="s">
        <v>818</v>
      </c>
      <c r="O7" s="893" t="s">
        <v>818</v>
      </c>
      <c r="P7" s="898" t="s">
        <v>818</v>
      </c>
      <c r="Q7" s="891"/>
    </row>
    <row r="8" spans="1:17" ht="124.35" customHeight="1">
      <c r="A8" s="884" t="s">
        <v>642</v>
      </c>
      <c r="B8" s="885" t="s">
        <v>830</v>
      </c>
      <c r="C8" s="886" t="s">
        <v>823</v>
      </c>
      <c r="D8" s="886" t="s">
        <v>824</v>
      </c>
      <c r="E8" s="887" t="s">
        <v>825</v>
      </c>
      <c r="F8" s="887" t="s">
        <v>826</v>
      </c>
      <c r="G8" s="888" t="s">
        <v>818</v>
      </c>
      <c r="H8" s="888" t="s">
        <v>818</v>
      </c>
      <c r="I8" s="888" t="s">
        <v>818</v>
      </c>
      <c r="J8" s="887" t="s">
        <v>827</v>
      </c>
      <c r="K8" s="880" t="s">
        <v>818</v>
      </c>
      <c r="L8" s="888" t="s">
        <v>818</v>
      </c>
      <c r="M8" s="888" t="s">
        <v>818</v>
      </c>
      <c r="N8" s="887" t="s">
        <v>828</v>
      </c>
      <c r="O8" s="889" t="s">
        <v>820</v>
      </c>
      <c r="P8" s="890" t="s">
        <v>821</v>
      </c>
      <c r="Q8" s="891"/>
    </row>
    <row r="9" spans="1:17" s="452" customFormat="1" ht="124.35" customHeight="1">
      <c r="A9" s="899" t="s">
        <v>562</v>
      </c>
      <c r="B9" s="887" t="s">
        <v>831</v>
      </c>
      <c r="C9" s="894" t="s">
        <v>816</v>
      </c>
      <c r="D9" s="887" t="s">
        <v>832</v>
      </c>
      <c r="E9" s="887" t="s">
        <v>833</v>
      </c>
      <c r="F9" s="888" t="s">
        <v>816</v>
      </c>
      <c r="G9" s="887" t="s">
        <v>834</v>
      </c>
      <c r="H9" s="887" t="s">
        <v>835</v>
      </c>
      <c r="I9" s="888" t="s">
        <v>816</v>
      </c>
      <c r="J9" s="888" t="s">
        <v>816</v>
      </c>
      <c r="K9" s="888" t="s">
        <v>816</v>
      </c>
      <c r="L9" s="888" t="s">
        <v>816</v>
      </c>
      <c r="M9" s="887" t="s">
        <v>831</v>
      </c>
      <c r="N9" s="888" t="s">
        <v>816</v>
      </c>
      <c r="O9" s="888" t="s">
        <v>816</v>
      </c>
      <c r="P9" s="900" t="s">
        <v>816</v>
      </c>
      <c r="Q9" s="901"/>
    </row>
    <row r="10" spans="1:17" ht="124.35" customHeight="1">
      <c r="A10" s="884" t="s">
        <v>552</v>
      </c>
      <c r="B10" s="885" t="s">
        <v>843</v>
      </c>
      <c r="C10" s="894" t="s">
        <v>816</v>
      </c>
      <c r="D10" s="894" t="s">
        <v>816</v>
      </c>
      <c r="E10" s="894" t="s">
        <v>816</v>
      </c>
      <c r="F10" s="888" t="s">
        <v>816</v>
      </c>
      <c r="G10" s="885" t="s">
        <v>836</v>
      </c>
      <c r="H10" s="888" t="s">
        <v>816</v>
      </c>
      <c r="I10" s="888" t="s">
        <v>816</v>
      </c>
      <c r="J10" s="888" t="s">
        <v>816</v>
      </c>
      <c r="K10" s="888" t="s">
        <v>816</v>
      </c>
      <c r="L10" s="888" t="s">
        <v>816</v>
      </c>
      <c r="M10" s="885" t="s">
        <v>837</v>
      </c>
      <c r="N10" s="888" t="s">
        <v>816</v>
      </c>
      <c r="O10" s="888" t="s">
        <v>816</v>
      </c>
      <c r="P10" s="900" t="s">
        <v>816</v>
      </c>
      <c r="Q10" s="891"/>
    </row>
    <row r="11" spans="1:17" ht="21">
      <c r="A11" s="884" t="s">
        <v>553</v>
      </c>
      <c r="B11" s="902" t="s">
        <v>838</v>
      </c>
      <c r="C11" s="902" t="s">
        <v>838</v>
      </c>
      <c r="D11" s="902" t="s">
        <v>838</v>
      </c>
      <c r="E11" s="902" t="s">
        <v>838</v>
      </c>
      <c r="F11" s="902" t="s">
        <v>838</v>
      </c>
      <c r="G11" s="902" t="s">
        <v>838</v>
      </c>
      <c r="H11" s="902" t="s">
        <v>838</v>
      </c>
      <c r="I11" s="902" t="s">
        <v>838</v>
      </c>
      <c r="J11" s="902" t="s">
        <v>838</v>
      </c>
      <c r="K11" s="902" t="s">
        <v>838</v>
      </c>
      <c r="L11" s="902" t="s">
        <v>838</v>
      </c>
      <c r="M11" s="902" t="s">
        <v>838</v>
      </c>
      <c r="N11" s="902" t="s">
        <v>838</v>
      </c>
      <c r="O11" s="902" t="s">
        <v>838</v>
      </c>
      <c r="P11" s="972" t="s">
        <v>838</v>
      </c>
      <c r="Q11" s="973"/>
    </row>
    <row r="12" spans="1:17" ht="21">
      <c r="A12" s="884" t="s">
        <v>554</v>
      </c>
      <c r="B12" s="902" t="s">
        <v>838</v>
      </c>
      <c r="C12" s="902" t="s">
        <v>816</v>
      </c>
      <c r="D12" s="902" t="s">
        <v>816</v>
      </c>
      <c r="E12" s="902" t="s">
        <v>816</v>
      </c>
      <c r="F12" s="902" t="s">
        <v>816</v>
      </c>
      <c r="G12" s="902" t="s">
        <v>816</v>
      </c>
      <c r="H12" s="902" t="s">
        <v>816</v>
      </c>
      <c r="I12" s="902" t="s">
        <v>816</v>
      </c>
      <c r="J12" s="902" t="s">
        <v>816</v>
      </c>
      <c r="K12" s="902" t="s">
        <v>816</v>
      </c>
      <c r="L12" s="902" t="s">
        <v>816</v>
      </c>
      <c r="M12" s="902" t="s">
        <v>816</v>
      </c>
      <c r="N12" s="902" t="s">
        <v>816</v>
      </c>
      <c r="O12" s="902" t="s">
        <v>816</v>
      </c>
      <c r="P12" s="972" t="s">
        <v>816</v>
      </c>
      <c r="Q12" s="446"/>
    </row>
    <row r="13" spans="1:17" ht="21">
      <c r="A13" s="884" t="s">
        <v>555</v>
      </c>
      <c r="B13" s="902" t="s">
        <v>838</v>
      </c>
      <c r="C13" s="902" t="s">
        <v>816</v>
      </c>
      <c r="D13" s="902" t="s">
        <v>838</v>
      </c>
      <c r="E13" s="902" t="s">
        <v>838</v>
      </c>
      <c r="F13" s="902" t="s">
        <v>816</v>
      </c>
      <c r="G13" s="902" t="s">
        <v>838</v>
      </c>
      <c r="H13" s="902" t="s">
        <v>838</v>
      </c>
      <c r="I13" s="902" t="s">
        <v>816</v>
      </c>
      <c r="J13" s="902" t="s">
        <v>816</v>
      </c>
      <c r="K13" s="902" t="s">
        <v>816</v>
      </c>
      <c r="L13" s="902" t="s">
        <v>816</v>
      </c>
      <c r="M13" s="902" t="s">
        <v>838</v>
      </c>
      <c r="N13" s="902" t="s">
        <v>816</v>
      </c>
      <c r="O13" s="902" t="s">
        <v>816</v>
      </c>
      <c r="P13" s="972" t="s">
        <v>816</v>
      </c>
      <c r="Q13" s="446"/>
    </row>
    <row r="14" spans="1:17" ht="30">
      <c r="A14" s="903" t="s">
        <v>852</v>
      </c>
      <c r="B14" s="892" t="s">
        <v>829</v>
      </c>
      <c r="C14" s="902" t="s">
        <v>816</v>
      </c>
      <c r="D14" s="892" t="s">
        <v>829</v>
      </c>
      <c r="E14" s="902" t="s">
        <v>816</v>
      </c>
      <c r="F14" s="902" t="s">
        <v>816</v>
      </c>
      <c r="G14" s="902" t="s">
        <v>816</v>
      </c>
      <c r="H14" s="902" t="s">
        <v>816</v>
      </c>
      <c r="I14" s="902" t="s">
        <v>816</v>
      </c>
      <c r="J14" s="902" t="s">
        <v>816</v>
      </c>
      <c r="K14" s="902" t="s">
        <v>816</v>
      </c>
      <c r="L14" s="902" t="s">
        <v>816</v>
      </c>
      <c r="M14" s="902" t="s">
        <v>816</v>
      </c>
      <c r="N14" s="902" t="s">
        <v>816</v>
      </c>
      <c r="O14" s="902" t="s">
        <v>816</v>
      </c>
      <c r="P14" s="902" t="s">
        <v>816</v>
      </c>
      <c r="Q14" s="974"/>
    </row>
    <row r="15" spans="1:17" s="459" customFormat="1" ht="21">
      <c r="A15" s="904" t="s">
        <v>556</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839</v>
      </c>
      <c r="B18" s="912" t="s">
        <v>840</v>
      </c>
      <c r="C18" s="913" t="s">
        <v>841</v>
      </c>
      <c r="D18" s="914" t="s">
        <v>842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855</v>
      </c>
    </row>
    <row r="2" spans="1:16" ht="60">
      <c r="A2" s="1139"/>
      <c r="B2" s="1140"/>
      <c r="C2" s="1140"/>
      <c r="D2" s="1141" t="s">
        <v>190</v>
      </c>
      <c r="E2" s="1141"/>
      <c r="F2" s="1141"/>
      <c r="G2" s="1141"/>
      <c r="H2" s="1141"/>
      <c r="I2" s="975" t="s">
        <v>856</v>
      </c>
      <c r="J2" s="975" t="s">
        <v>223</v>
      </c>
      <c r="K2" s="975" t="s">
        <v>857</v>
      </c>
      <c r="L2" s="975" t="s">
        <v>846</v>
      </c>
      <c r="M2" s="975" t="s">
        <v>234</v>
      </c>
      <c r="N2" s="975" t="s">
        <v>858</v>
      </c>
      <c r="O2" s="975" t="s">
        <v>120</v>
      </c>
      <c r="P2" s="1140"/>
    </row>
    <row r="3" spans="1:16" ht="30">
      <c r="A3" s="1139"/>
      <c r="B3" s="975" t="s">
        <v>859</v>
      </c>
      <c r="C3" s="975" t="s">
        <v>860</v>
      </c>
      <c r="D3" s="975" t="s">
        <v>192</v>
      </c>
      <c r="E3" s="975" t="s">
        <v>193</v>
      </c>
      <c r="F3" s="975" t="s">
        <v>194</v>
      </c>
      <c r="G3" s="975" t="s">
        <v>196</v>
      </c>
      <c r="H3" s="975" t="s">
        <v>197</v>
      </c>
      <c r="I3" s="975"/>
      <c r="J3" s="975"/>
      <c r="K3" s="975"/>
      <c r="L3" s="975"/>
      <c r="M3" s="975"/>
      <c r="N3" s="975"/>
      <c r="O3" s="975"/>
      <c r="P3" s="1140"/>
    </row>
    <row r="4" spans="1:16">
      <c r="A4" s="976" t="s">
        <v>238</v>
      </c>
      <c r="B4" s="977">
        <f>'SEAP template'!B72</f>
        <v>14237.021407305889</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19698.922569540566</v>
      </c>
      <c r="C6" s="977"/>
      <c r="D6" s="977"/>
      <c r="E6" s="977"/>
      <c r="F6" s="977"/>
      <c r="G6" s="977"/>
      <c r="H6" s="977"/>
      <c r="I6" s="977"/>
      <c r="J6" s="977"/>
      <c r="K6" s="977"/>
      <c r="L6" s="977"/>
      <c r="M6" s="977"/>
      <c r="N6" s="977"/>
      <c r="O6" s="977"/>
      <c r="P6" s="978">
        <f>'SEAP template'!Q74</f>
        <v>0</v>
      </c>
    </row>
    <row r="7" spans="1:16">
      <c r="A7" s="979" t="s">
        <v>846</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2226.15</v>
      </c>
      <c r="D8" s="977">
        <f>'SEAP template'!D76</f>
        <v>2619.0000000000005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529.03800000000012</v>
      </c>
    </row>
    <row r="9" spans="1:16">
      <c r="A9" s="980" t="s">
        <v>861</v>
      </c>
      <c r="B9" s="977">
        <f>'SEAP template'!B77</f>
        <v>1237.5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3535.7142857142858</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35173.443976846451</v>
      </c>
      <c r="C10" s="981">
        <f>SUM(C4:C9)</f>
        <v>2226.15</v>
      </c>
      <c r="D10" s="981">
        <f t="shared" ref="D10:H10" si="0">SUM(D8:D9)</f>
        <v>2619.0000000000005</v>
      </c>
      <c r="E10" s="981">
        <f t="shared" si="0"/>
        <v>0</v>
      </c>
      <c r="F10" s="981">
        <f t="shared" si="0"/>
        <v>0</v>
      </c>
      <c r="G10" s="981">
        <f t="shared" si="0"/>
        <v>0</v>
      </c>
      <c r="H10" s="981">
        <f t="shared" si="0"/>
        <v>0</v>
      </c>
      <c r="I10" s="981">
        <f>SUM(I8:I9)</f>
        <v>0</v>
      </c>
      <c r="J10" s="981">
        <f>SUM(J8:J9)</f>
        <v>3535.7142857142858</v>
      </c>
      <c r="K10" s="981">
        <f t="shared" ref="K10:L10" si="1">SUM(K8:K9)</f>
        <v>0</v>
      </c>
      <c r="L10" s="981">
        <f t="shared" si="1"/>
        <v>0</v>
      </c>
      <c r="M10" s="981">
        <f>SUM(M8:M9)</f>
        <v>0</v>
      </c>
      <c r="N10" s="981">
        <f>SUM(N8:N9)</f>
        <v>0</v>
      </c>
      <c r="O10" s="981">
        <f>SUM(O8:O9)</f>
        <v>0</v>
      </c>
      <c r="P10" s="981">
        <f>SUM(P8:P9)</f>
        <v>529.03800000000012</v>
      </c>
    </row>
    <row r="11" spans="1:16">
      <c r="A11" s="982"/>
      <c r="B11" s="982"/>
      <c r="C11" s="982"/>
      <c r="D11" s="982"/>
      <c r="E11" s="982"/>
      <c r="F11" s="982"/>
      <c r="G11" s="982"/>
      <c r="H11" s="982"/>
      <c r="I11" s="982"/>
      <c r="J11" s="982"/>
      <c r="K11" s="982"/>
      <c r="L11" s="982"/>
      <c r="M11" s="982"/>
      <c r="N11" s="982"/>
      <c r="O11" s="982"/>
      <c r="P11" s="982"/>
    </row>
    <row r="12" spans="1:16">
      <c r="A12" s="460" t="s">
        <v>862</v>
      </c>
      <c r="B12" s="729" t="s">
        <v>863</v>
      </c>
      <c r="C12" s="729">
        <f ca="1">'EF ele_warmte'!B12</f>
        <v>0.2025936153876903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864</v>
      </c>
    </row>
    <row r="15" spans="1:16">
      <c r="A15" s="1139"/>
      <c r="B15" s="1140"/>
      <c r="C15" s="1140"/>
      <c r="D15" s="1142" t="s">
        <v>190</v>
      </c>
      <c r="E15" s="1142"/>
      <c r="F15" s="1142"/>
      <c r="G15" s="1142"/>
      <c r="H15" s="1142"/>
      <c r="I15" s="1140" t="s">
        <v>856</v>
      </c>
      <c r="J15" s="1140" t="s">
        <v>223</v>
      </c>
      <c r="K15" s="1140" t="s">
        <v>857</v>
      </c>
      <c r="L15" s="1140" t="s">
        <v>846</v>
      </c>
      <c r="M15" s="1140" t="s">
        <v>234</v>
      </c>
      <c r="N15" s="1140" t="s">
        <v>865</v>
      </c>
      <c r="O15" s="1140" t="s">
        <v>120</v>
      </c>
      <c r="P15" s="1140"/>
    </row>
    <row r="16" spans="1:16" ht="30">
      <c r="A16" s="1139"/>
      <c r="B16" s="975" t="s">
        <v>866</v>
      </c>
      <c r="C16" s="975" t="s">
        <v>867</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3180.2142857142858</v>
      </c>
      <c r="D17" s="978">
        <f>'SEAP template'!D87</f>
        <v>3741.428571428572</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755.76857142857159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868</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3180.2142857142858</v>
      </c>
      <c r="D20" s="981">
        <f t="shared" ref="D20:H20" si="2">SUM(D17:D19)</f>
        <v>3741.428571428572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755.76857142857159</v>
      </c>
    </row>
    <row r="22" spans="1:16">
      <c r="A22" s="460" t="s">
        <v>869</v>
      </c>
      <c r="B22" s="729" t="s">
        <v>863</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855</v>
      </c>
    </row>
    <row r="2" spans="1:16" ht="15.75">
      <c r="A2" s="1139"/>
      <c r="B2" s="1140"/>
      <c r="C2" s="1140"/>
      <c r="D2" s="1141" t="s">
        <v>190</v>
      </c>
      <c r="E2" s="1141"/>
      <c r="F2" s="1141"/>
      <c r="G2" s="1141"/>
      <c r="H2" s="1141"/>
      <c r="I2" s="975" t="s">
        <v>856</v>
      </c>
      <c r="J2" s="975" t="s">
        <v>223</v>
      </c>
      <c r="K2" s="975" t="s">
        <v>857</v>
      </c>
      <c r="L2" s="975" t="s">
        <v>846</v>
      </c>
      <c r="M2" s="975" t="s">
        <v>234</v>
      </c>
      <c r="N2" s="975" t="s">
        <v>858</v>
      </c>
      <c r="O2" s="975" t="s">
        <v>120</v>
      </c>
      <c r="P2" s="1140"/>
    </row>
    <row r="3" spans="1:16" ht="30">
      <c r="A3" s="1139"/>
      <c r="B3" s="975" t="s">
        <v>859</v>
      </c>
      <c r="C3" s="975" t="s">
        <v>860</v>
      </c>
      <c r="D3" s="975" t="s">
        <v>192</v>
      </c>
      <c r="E3" s="975" t="s">
        <v>193</v>
      </c>
      <c r="F3" s="975" t="s">
        <v>194</v>
      </c>
      <c r="G3" s="975" t="s">
        <v>196</v>
      </c>
      <c r="H3" s="975" t="s">
        <v>197</v>
      </c>
      <c r="I3" s="975"/>
      <c r="J3" s="975"/>
      <c r="K3" s="975"/>
      <c r="L3" s="975"/>
      <c r="M3" s="975"/>
      <c r="N3" s="975"/>
      <c r="O3" s="975"/>
      <c r="P3" s="1140"/>
    </row>
    <row r="4" spans="1:16" ht="135">
      <c r="A4" s="987" t="s">
        <v>238</v>
      </c>
      <c r="B4" s="988" t="s">
        <v>929</v>
      </c>
      <c r="C4" s="989" t="s">
        <v>816</v>
      </c>
      <c r="D4" s="989" t="s">
        <v>816</v>
      </c>
      <c r="E4" s="989" t="s">
        <v>816</v>
      </c>
      <c r="F4" s="989" t="s">
        <v>816</v>
      </c>
      <c r="G4" s="989" t="s">
        <v>816</v>
      </c>
      <c r="H4" s="989" t="s">
        <v>816</v>
      </c>
      <c r="I4" s="989" t="s">
        <v>816</v>
      </c>
      <c r="J4" s="989" t="s">
        <v>816</v>
      </c>
      <c r="K4" s="989" t="s">
        <v>816</v>
      </c>
      <c r="L4" s="989" t="s">
        <v>816</v>
      </c>
      <c r="M4" s="989" t="s">
        <v>816</v>
      </c>
      <c r="N4" s="989" t="s">
        <v>816</v>
      </c>
      <c r="O4" s="989" t="s">
        <v>816</v>
      </c>
      <c r="P4" s="990" t="s">
        <v>870</v>
      </c>
    </row>
    <row r="5" spans="1:16" ht="135">
      <c r="A5" s="991" t="s">
        <v>239</v>
      </c>
      <c r="B5" s="988" t="s">
        <v>929</v>
      </c>
      <c r="C5" s="989" t="s">
        <v>816</v>
      </c>
      <c r="D5" s="989" t="s">
        <v>816</v>
      </c>
      <c r="E5" s="989" t="s">
        <v>816</v>
      </c>
      <c r="F5" s="989" t="s">
        <v>816</v>
      </c>
      <c r="G5" s="989" t="s">
        <v>816</v>
      </c>
      <c r="H5" s="989" t="s">
        <v>816</v>
      </c>
      <c r="I5" s="989" t="s">
        <v>816</v>
      </c>
      <c r="J5" s="989" t="s">
        <v>816</v>
      </c>
      <c r="K5" s="989" t="s">
        <v>816</v>
      </c>
      <c r="L5" s="989" t="s">
        <v>816</v>
      </c>
      <c r="M5" s="989" t="s">
        <v>816</v>
      </c>
      <c r="N5" s="989" t="s">
        <v>816</v>
      </c>
      <c r="O5" s="989" t="s">
        <v>816</v>
      </c>
      <c r="P5" s="990" t="s">
        <v>870</v>
      </c>
    </row>
    <row r="6" spans="1:16" ht="135">
      <c r="A6" s="991" t="s">
        <v>240</v>
      </c>
      <c r="B6" s="988" t="s">
        <v>929</v>
      </c>
      <c r="C6" s="989" t="s">
        <v>816</v>
      </c>
      <c r="D6" s="989" t="s">
        <v>816</v>
      </c>
      <c r="E6" s="989" t="s">
        <v>816</v>
      </c>
      <c r="F6" s="989" t="s">
        <v>816</v>
      </c>
      <c r="G6" s="989" t="s">
        <v>816</v>
      </c>
      <c r="H6" s="989" t="s">
        <v>816</v>
      </c>
      <c r="I6" s="989" t="s">
        <v>816</v>
      </c>
      <c r="J6" s="989" t="s">
        <v>816</v>
      </c>
      <c r="K6" s="989" t="s">
        <v>816</v>
      </c>
      <c r="L6" s="989" t="s">
        <v>816</v>
      </c>
      <c r="M6" s="989" t="s">
        <v>816</v>
      </c>
      <c r="N6" s="989" t="s">
        <v>816</v>
      </c>
      <c r="O6" s="989" t="s">
        <v>816</v>
      </c>
      <c r="P6" s="990" t="s">
        <v>870</v>
      </c>
    </row>
    <row r="7" spans="1:16" ht="135">
      <c r="A7" s="991" t="s">
        <v>846</v>
      </c>
      <c r="B7" s="989" t="s">
        <v>816</v>
      </c>
      <c r="C7" s="989" t="s">
        <v>816</v>
      </c>
      <c r="D7" s="989" t="s">
        <v>816</v>
      </c>
      <c r="E7" s="989" t="s">
        <v>816</v>
      </c>
      <c r="F7" s="989" t="s">
        <v>816</v>
      </c>
      <c r="G7" s="989" t="s">
        <v>816</v>
      </c>
      <c r="H7" s="989" t="s">
        <v>816</v>
      </c>
      <c r="I7" s="989" t="s">
        <v>816</v>
      </c>
      <c r="J7" s="989" t="s">
        <v>816</v>
      </c>
      <c r="K7" s="989" t="s">
        <v>816</v>
      </c>
      <c r="L7" s="989" t="s">
        <v>816</v>
      </c>
      <c r="M7" s="989" t="s">
        <v>816</v>
      </c>
      <c r="N7" s="989" t="s">
        <v>816</v>
      </c>
      <c r="O7" s="989" t="s">
        <v>816</v>
      </c>
      <c r="P7" s="990" t="s">
        <v>870</v>
      </c>
    </row>
    <row r="8" spans="1:16" ht="210">
      <c r="A8" s="987" t="s">
        <v>241</v>
      </c>
      <c r="B8" s="988" t="s">
        <v>871</v>
      </c>
      <c r="C8" s="988" t="s">
        <v>871</v>
      </c>
      <c r="D8" s="988" t="s">
        <v>871</v>
      </c>
      <c r="E8" s="988" t="s">
        <v>871</v>
      </c>
      <c r="F8" s="988" t="s">
        <v>871</v>
      </c>
      <c r="G8" s="988" t="s">
        <v>871</v>
      </c>
      <c r="H8" s="988" t="s">
        <v>871</v>
      </c>
      <c r="I8" s="988" t="s">
        <v>871</v>
      </c>
      <c r="J8" s="988" t="s">
        <v>871</v>
      </c>
      <c r="K8" s="989" t="s">
        <v>816</v>
      </c>
      <c r="L8" s="989" t="s">
        <v>816</v>
      </c>
      <c r="M8" s="989" t="s">
        <v>816</v>
      </c>
      <c r="N8" s="988" t="s">
        <v>872</v>
      </c>
      <c r="O8" s="988" t="s">
        <v>872</v>
      </c>
      <c r="P8" s="992"/>
    </row>
    <row r="9" spans="1:16" ht="210">
      <c r="A9" s="993" t="s">
        <v>861</v>
      </c>
      <c r="B9" s="988" t="s">
        <v>872</v>
      </c>
      <c r="C9" s="988" t="s">
        <v>872</v>
      </c>
      <c r="D9" s="988" t="s">
        <v>872</v>
      </c>
      <c r="E9" s="988" t="s">
        <v>872</v>
      </c>
      <c r="F9" s="988" t="s">
        <v>872</v>
      </c>
      <c r="G9" s="988" t="s">
        <v>872</v>
      </c>
      <c r="H9" s="988" t="s">
        <v>872</v>
      </c>
      <c r="I9" s="988" t="s">
        <v>872</v>
      </c>
      <c r="J9" s="988" t="s">
        <v>872</v>
      </c>
      <c r="K9" s="989" t="s">
        <v>816</v>
      </c>
      <c r="L9" s="988" t="s">
        <v>872</v>
      </c>
      <c r="M9" s="988" t="s">
        <v>872</v>
      </c>
      <c r="N9" s="988" t="s">
        <v>872</v>
      </c>
      <c r="O9" s="988" t="s">
        <v>872</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862</v>
      </c>
      <c r="B12" s="729" t="s">
        <v>863</v>
      </c>
      <c r="C12" s="995" t="s">
        <v>873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864</v>
      </c>
    </row>
    <row r="15" spans="1:16">
      <c r="A15" s="1139"/>
      <c r="B15" s="1140"/>
      <c r="C15" s="1140"/>
      <c r="D15" s="1142" t="s">
        <v>190</v>
      </c>
      <c r="E15" s="1142"/>
      <c r="F15" s="1142"/>
      <c r="G15" s="1142"/>
      <c r="H15" s="1142"/>
      <c r="I15" s="1140" t="s">
        <v>856</v>
      </c>
      <c r="J15" s="1140" t="s">
        <v>223</v>
      </c>
      <c r="K15" s="1140" t="s">
        <v>857</v>
      </c>
      <c r="L15" s="1140" t="s">
        <v>846</v>
      </c>
      <c r="M15" s="1140" t="s">
        <v>234</v>
      </c>
      <c r="N15" s="1140" t="s">
        <v>865</v>
      </c>
      <c r="O15" s="1140" t="s">
        <v>120</v>
      </c>
      <c r="P15" s="1140"/>
    </row>
    <row r="16" spans="1:16" ht="30">
      <c r="A16" s="1139"/>
      <c r="B16" s="975" t="s">
        <v>866</v>
      </c>
      <c r="C16" s="975" t="s">
        <v>867</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872</v>
      </c>
      <c r="C17" s="988" t="s">
        <v>872</v>
      </c>
      <c r="D17" s="988" t="s">
        <v>872</v>
      </c>
      <c r="E17" s="988" t="s">
        <v>872</v>
      </c>
      <c r="F17" s="988" t="s">
        <v>872</v>
      </c>
      <c r="G17" s="988" t="s">
        <v>872</v>
      </c>
      <c r="H17" s="988" t="s">
        <v>872</v>
      </c>
      <c r="I17" s="988" t="s">
        <v>872</v>
      </c>
      <c r="J17" s="988" t="s">
        <v>872</v>
      </c>
      <c r="K17" s="989" t="s">
        <v>816</v>
      </c>
      <c r="L17" s="989" t="s">
        <v>816</v>
      </c>
      <c r="M17" s="989" t="s">
        <v>816</v>
      </c>
      <c r="N17" s="988" t="s">
        <v>872</v>
      </c>
      <c r="O17" s="988" t="s">
        <v>872</v>
      </c>
      <c r="P17" s="996"/>
    </row>
    <row r="18" spans="1:16" ht="45">
      <c r="A18" s="985" t="s">
        <v>247</v>
      </c>
      <c r="B18" s="990" t="s">
        <v>838</v>
      </c>
      <c r="C18" s="990" t="s">
        <v>838</v>
      </c>
      <c r="D18" s="990" t="s">
        <v>838</v>
      </c>
      <c r="E18" s="990" t="s">
        <v>838</v>
      </c>
      <c r="F18" s="990" t="s">
        <v>838</v>
      </c>
      <c r="G18" s="990" t="s">
        <v>838</v>
      </c>
      <c r="H18" s="990" t="s">
        <v>838</v>
      </c>
      <c r="I18" s="990" t="s">
        <v>838</v>
      </c>
      <c r="J18" s="990" t="s">
        <v>838</v>
      </c>
      <c r="K18" s="990" t="s">
        <v>838</v>
      </c>
      <c r="L18" s="990" t="s">
        <v>838</v>
      </c>
      <c r="M18" s="990" t="s">
        <v>838</v>
      </c>
      <c r="N18" s="990" t="s">
        <v>838</v>
      </c>
      <c r="O18" s="990" t="s">
        <v>838</v>
      </c>
      <c r="P18" s="990" t="s">
        <v>838</v>
      </c>
    </row>
    <row r="19" spans="1:16" ht="45">
      <c r="A19" s="980" t="s">
        <v>868</v>
      </c>
      <c r="B19" s="990" t="s">
        <v>838</v>
      </c>
      <c r="C19" s="990" t="s">
        <v>838</v>
      </c>
      <c r="D19" s="990" t="s">
        <v>838</v>
      </c>
      <c r="E19" s="990" t="s">
        <v>838</v>
      </c>
      <c r="F19" s="990" t="s">
        <v>838</v>
      </c>
      <c r="G19" s="990" t="s">
        <v>838</v>
      </c>
      <c r="H19" s="990" t="s">
        <v>838</v>
      </c>
      <c r="I19" s="990" t="s">
        <v>838</v>
      </c>
      <c r="J19" s="990" t="s">
        <v>838</v>
      </c>
      <c r="K19" s="990" t="s">
        <v>838</v>
      </c>
      <c r="L19" s="990" t="s">
        <v>838</v>
      </c>
      <c r="M19" s="990" t="s">
        <v>838</v>
      </c>
      <c r="N19" s="990" t="s">
        <v>838</v>
      </c>
      <c r="O19" s="990" t="s">
        <v>838</v>
      </c>
      <c r="P19" s="990" t="s">
        <v>838</v>
      </c>
    </row>
    <row r="20" spans="1:16">
      <c r="A20" s="986" t="s">
        <v>109</v>
      </c>
      <c r="B20" s="981"/>
      <c r="C20" s="981"/>
      <c r="D20" s="981"/>
      <c r="E20" s="981"/>
      <c r="F20" s="981"/>
      <c r="G20" s="981"/>
      <c r="H20" s="981"/>
      <c r="I20" s="981"/>
      <c r="J20" s="981"/>
      <c r="K20" s="981"/>
      <c r="L20" s="981"/>
      <c r="M20" s="981"/>
      <c r="N20" s="981"/>
      <c r="O20" s="981"/>
      <c r="P20" s="981"/>
    </row>
    <row r="22" spans="1:16" ht="90">
      <c r="A22" s="460" t="s">
        <v>869</v>
      </c>
      <c r="B22" s="729" t="s">
        <v>863</v>
      </c>
      <c r="C22" s="995" t="s">
        <v>874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579</v>
      </c>
      <c r="B6" s="76" t="s">
        <v>580</v>
      </c>
      <c r="C6" s="430" t="s">
        <v>563</v>
      </c>
    </row>
    <row r="7" spans="1:3">
      <c r="A7" s="126"/>
      <c r="B7" s="130"/>
      <c r="C7" s="123"/>
    </row>
    <row r="8" spans="1:3">
      <c r="A8" s="114" t="s">
        <v>582</v>
      </c>
      <c r="B8" s="76" t="s">
        <v>581</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593</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588</v>
      </c>
      <c r="B4" s="462"/>
      <c r="C4" s="462"/>
      <c r="D4" s="462"/>
      <c r="E4" s="462"/>
      <c r="F4" s="462"/>
      <c r="G4" s="494"/>
      <c r="H4" s="494"/>
      <c r="I4" s="462"/>
      <c r="J4" s="462"/>
      <c r="K4" s="462"/>
      <c r="L4" s="462"/>
      <c r="M4" s="462"/>
      <c r="N4" s="462"/>
      <c r="O4" s="462"/>
      <c r="P4" s="462"/>
    </row>
    <row r="5" spans="1:16" outlineLevel="1">
      <c r="A5" s="634" t="s">
        <v>589</v>
      </c>
      <c r="B5" s="462"/>
      <c r="C5" s="462"/>
      <c r="D5" s="462"/>
      <c r="E5" s="462"/>
      <c r="F5" s="462"/>
      <c r="G5" s="494"/>
      <c r="H5" s="494"/>
      <c r="I5" s="462"/>
      <c r="J5" s="462"/>
      <c r="K5" s="462"/>
      <c r="L5" s="462"/>
      <c r="M5" s="462"/>
      <c r="N5" s="462"/>
      <c r="O5" s="462"/>
      <c r="P5" s="462"/>
    </row>
    <row r="6" spans="1:16" outlineLevel="1">
      <c r="A6" s="634" t="s">
        <v>590</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591</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592</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577</v>
      </c>
      <c r="B13" s="447"/>
      <c r="C13" s="466"/>
      <c r="D13" s="466"/>
      <c r="E13" s="466"/>
      <c r="F13" s="466"/>
      <c r="G13" s="466"/>
      <c r="H13" s="466"/>
      <c r="I13" s="466"/>
      <c r="J13" s="466"/>
      <c r="K13" s="466"/>
      <c r="L13" s="466"/>
      <c r="M13" s="466"/>
      <c r="N13" s="466"/>
      <c r="O13" s="730" t="s">
        <v>614</v>
      </c>
      <c r="P13" s="730" t="s">
        <v>613</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586</v>
      </c>
      <c r="B17" s="496">
        <f ca="1">'EF ele_warmte'!B12</f>
        <v>0.2025936153876903</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697</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600</v>
      </c>
      <c r="B27" s="738">
        <f>B24*B25*B26</f>
        <v>0</v>
      </c>
      <c r="C27" s="487" t="s">
        <v>601</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600</v>
      </c>
      <c r="B35" s="737">
        <f>B31*B32*B33/1000-B31*B32*B33/1000/B34</f>
        <v>0</v>
      </c>
      <c r="C35" s="493" t="s">
        <v>601</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2022-07-26T12:38:11Z</dcterms:modified>
</cp:coreProperties>
</file>