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904E7683-16E4-47D7-A2CA-74CF8E4A910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41" i="18"/>
  <c r="E9" i="18"/>
  <c r="D9" i="18"/>
  <c r="W44" i="18"/>
  <c r="V44" i="18"/>
  <c r="U44" i="18"/>
  <c r="T44" i="18"/>
  <c r="S44" i="18"/>
  <c r="R44" i="18"/>
  <c r="Q44" i="18"/>
  <c r="P44" i="18"/>
  <c r="O44" i="18"/>
  <c r="N44" i="18"/>
  <c r="M44" i="18"/>
  <c r="W43" i="18"/>
  <c r="V43" i="18"/>
  <c r="U43" i="18"/>
  <c r="T43" i="18"/>
  <c r="S43" i="18"/>
  <c r="R43" i="18"/>
  <c r="Q43" i="18"/>
  <c r="P43" i="18"/>
  <c r="O43" i="18"/>
  <c r="N43" i="18"/>
  <c r="M43" i="18"/>
  <c r="W42" i="18"/>
  <c r="V42" i="18"/>
  <c r="U42" i="18"/>
  <c r="T42" i="18"/>
  <c r="S42" i="18"/>
  <c r="R42" i="18"/>
  <c r="Q42" i="18"/>
  <c r="P42" i="18"/>
  <c r="O42" i="18"/>
  <c r="N42" i="18"/>
  <c r="M42" i="18"/>
  <c r="W41" i="18"/>
  <c r="H9" i="18"/>
  <c r="V41" i="18"/>
  <c r="Q41" i="18"/>
  <c r="R41" i="18"/>
  <c r="J9" i="18"/>
  <c r="U41" i="18"/>
  <c r="T41" i="18"/>
  <c r="I9" i="18"/>
  <c r="P41" i="18"/>
  <c r="C9" i="18"/>
  <c r="O41" i="18"/>
  <c r="N41" i="18"/>
  <c r="B9" i="18"/>
  <c r="M41" i="18"/>
  <c r="W37" i="18"/>
  <c r="V37" i="18"/>
  <c r="U37" i="18"/>
  <c r="T37" i="18"/>
  <c r="S37" i="18"/>
  <c r="R37" i="18"/>
  <c r="Q37" i="18"/>
  <c r="P37" i="18"/>
  <c r="O37" i="18"/>
  <c r="N37" i="18"/>
  <c r="M37" i="18"/>
  <c r="W36" i="18"/>
  <c r="V36" i="18"/>
  <c r="U36" i="18"/>
  <c r="T36" i="18"/>
  <c r="S36" i="18"/>
  <c r="R36" i="18"/>
  <c r="Q36" i="18"/>
  <c r="P36" i="18"/>
  <c r="O36" i="18"/>
  <c r="N36" i="18"/>
  <c r="M36" i="18"/>
  <c r="W35" i="18"/>
  <c r="V35" i="18"/>
  <c r="U35" i="18"/>
  <c r="T35" i="18"/>
  <c r="S35" i="18"/>
  <c r="R35" i="18"/>
  <c r="Q35" i="18"/>
  <c r="P35" i="18"/>
  <c r="O35" i="18"/>
  <c r="N35" i="18"/>
  <c r="M35" i="18"/>
  <c r="W34" i="18"/>
  <c r="V34" i="18"/>
  <c r="U34" i="18"/>
  <c r="T34" i="18"/>
  <c r="S34" i="18"/>
  <c r="R34" i="18"/>
  <c r="Q34" i="18"/>
  <c r="P34" i="18"/>
  <c r="O34" i="18"/>
  <c r="N34" i="18"/>
  <c r="B8" i="18"/>
  <c r="M34" i="18"/>
  <c r="G22" i="18"/>
  <c r="F22" i="18"/>
  <c r="E22" i="18"/>
  <c r="D22" i="18"/>
  <c r="C22" i="18"/>
  <c r="L20" i="18"/>
  <c r="D20" i="18"/>
  <c r="G12" i="18"/>
  <c r="F12" i="18"/>
  <c r="E12" i="18"/>
  <c r="D12" i="18"/>
  <c r="C12" i="18"/>
  <c r="L10" i="18"/>
  <c r="K10" i="18"/>
  <c r="G10" i="18"/>
  <c r="D10" i="18"/>
  <c r="B6" i="18"/>
  <c r="B5" i="18"/>
  <c r="B4" i="18"/>
  <c r="B50" i="18"/>
  <c r="F54" i="18"/>
  <c r="F20" i="18"/>
  <c r="B17" i="18"/>
  <c r="C50" i="18"/>
  <c r="B53" i="18"/>
  <c r="C8" i="18"/>
  <c r="G20" i="18"/>
  <c r="K20" i="18"/>
  <c r="B10" i="18"/>
  <c r="O9" i="18"/>
  <c r="O19" i="18"/>
  <c r="O18" i="18"/>
  <c r="B20" i="18"/>
  <c r="I53" i="18"/>
  <c r="H8" i="18"/>
  <c r="H10" i="18"/>
  <c r="E53" i="18"/>
  <c r="E8" i="18"/>
  <c r="E10" i="18"/>
  <c r="D53" i="18"/>
  <c r="F53" i="18"/>
  <c r="N6" i="17"/>
  <c r="L6" i="17"/>
  <c r="F6" i="17"/>
  <c r="D6" i="17"/>
  <c r="C6" i="17"/>
  <c r="N16" i="16"/>
  <c r="L16" i="16"/>
  <c r="F16" i="16"/>
  <c r="D16" i="16"/>
  <c r="C16" i="16"/>
  <c r="B16" i="16"/>
  <c r="B13" i="15"/>
  <c r="H53" i="18"/>
  <c r="C53" i="18"/>
  <c r="J8" i="18"/>
  <c r="C54" i="18"/>
  <c r="H54" i="18"/>
  <c r="G54" i="18"/>
  <c r="I17" i="18"/>
  <c r="I54" i="18"/>
  <c r="H17" i="18"/>
  <c r="H20" i="18"/>
  <c r="D54" i="18"/>
  <c r="E54" i="18"/>
  <c r="E17" i="18"/>
  <c r="E20" i="18"/>
  <c r="B54" i="18"/>
  <c r="C17" i="18"/>
  <c r="C20" i="18"/>
  <c r="G53"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<sst xmlns="http://schemas.openxmlformats.org/spreadsheetml/2006/main" count="2527" uniqueCount="951">
  <si>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</si>
  <si>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</si>
  <si>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</si>
  <si>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</si>
  <si>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</si>
  <si>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</si>
  <si>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</si>
  <si>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</si>
  <si>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</si>
  <si>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</si>
  <si>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</si>
  <si>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</si>
  <si>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</si>
  <si>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</si>
  <si>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</si>
  <si>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</si>
  <si>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</si>
  <si>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</si>
  <si>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</si>
  <si>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</si>
  <si>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</si>
  <si>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</si>
  <si>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</si>
  <si>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</si>
  <si>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</si>
  <si>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</si>
  <si>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</si>
  <si>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</si>
  <si>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</si>
  <si>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</si>
  <si>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</si>
  <si>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</si>
  <si>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</si>
  <si>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</si>
  <si>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</si>
  <si>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</si>
  <si>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</si>
  <si>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</si>
  <si>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</si>
  <si>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</si>
  <si>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</si>
  <si>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</si>
  <si>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</si>
  <si>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</si>
  <si>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</si>
  <si>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</si>
  <si>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</si>
  <si>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</si>
  <si>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</si>
  <si>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</si>
  <si>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</si>
  <si>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</si>
  <si>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</si>
  <si>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</si>
  <si>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</si>
  <si>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</si>
  <si>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</si>
  <si>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</si>
  <si>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</si>
  <si>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</si>
  <si>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</si>
  <si>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</si>
  <si>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</si>
  <si>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</si>
  <si>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</si>
  <si>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</si>
  <si>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</si>
  <si>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</si>
  <si>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</si>
  <si>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</si>
  <si>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</si>
  <si>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</si>
  <si>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</si>
  <si>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</si>
  <si>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</si>
  <si>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</si>
  <si>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</si>
  <si>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</si>
  <si>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</si>
  <si>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</si>
  <si>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</si>
  <si>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</si>
  <si>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</si>
  <si>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</si>
  <si>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</si>
  <si>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</si>
  <si>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</si>
  <si>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</si>
  <si>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</si>
  <si>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</si>
  <si>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</si>
  <si>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</si>
  <si>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</si>
  <si>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</si>
  <si>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</si>
  <si>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</si>
  <si>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</si>
  <si>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</si>
  <si>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</si>
  <si>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</si>
  <si>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</si>
  <si>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</si>
  <si>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</si>
  <si>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</si>
  <si>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</si>
  <si>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</si>
  <si>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</si>
  <si>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</si>
  <si>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</si>
  <si>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</si>
  <si>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</si>
  <si>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</si>
  <si>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</si>
  <si>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</si>
  <si>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</si>
  <si>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</si>
  <si>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</si>
  <si>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</si>
  <si>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</si>
  <si>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</si>
  <si>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</si>
  <si>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</si>
  <si>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</si>
  <si>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</si>
  <si>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</si>
  <si>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</si>
  <si>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</si>
  <si>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</si>
  <si>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</si>
  <si>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</si>
  <si>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</si>
  <si>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</si>
  <si>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</si>
  <si>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</si>
  <si>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</si>
  <si>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</si>
  <si>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</si>
  <si>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</si>
  <si>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</si>
  <si>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</si>
  <si>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</si>
  <si>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</si>
  <si>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</si>
  <si>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</si>
  <si>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</si>
  <si>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</si>
  <si>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</si>
  <si>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</si>
  <si>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</si>
  <si>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</si>
  <si>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</si>
  <si>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</si>
  <si>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</si>
  <si>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</si>
  <si>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</si>
  <si>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</si>
  <si>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</si>
  <si>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</si>
  <si>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</si>
  <si>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</si>
  <si>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</si>
  <si>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</si>
  <si>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</si>
  <si>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</si>
  <si>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</si>
  <si>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</si>
  <si>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</si>
  <si>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</si>
  <si>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</si>
  <si>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</si>
  <si>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</si>
  <si>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</si>
  <si>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</si>
  <si>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</si>
  <si>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</si>
  <si>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</si>
  <si>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</si>
  <si>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</si>
  <si>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</si>
  <si>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</si>
  <si>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</si>
  <si>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</si>
  <si>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</si>
  <si>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</si>
  <si>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</si>
  <si>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</si>
  <si>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</si>
  <si>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</si>
  <si>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</si>
  <si>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</si>
  <si>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</si>
  <si>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</si>
  <si>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</si>
  <si>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</si>
  <si>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</si>
  <si>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</si>
  <si>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</si>
  <si>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</si>
  <si>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</si>
  <si>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</si>
  <si>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</si>
  <si>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</si>
  <si>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</si>
  <si>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</si>
  <si>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</si>
  <si>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</si>
  <si>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</si>
  <si>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</si>
  <si>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</si>
  <si>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</si>
  <si>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</si>
  <si>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</si>
  <si>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</si>
  <si>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</si>
  <si>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</si>
  <si>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</si>
  <si>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</si>
  <si>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</si>
  <si>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</si>
  <si>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</si>
  <si>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</si>
  <si>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</si>
  <si>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</si>
  <si>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</si>
  <si>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</si>
  <si>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</si>
  <si>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</si>
  <si>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</si>
  <si>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</si>
  <si>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</si>
  <si>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</si>
  <si>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</si>
  <si>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</si>
  <si>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</si>
  <si>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</si>
  <si>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</si>
  <si>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</si>
  <si>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</si>
  <si>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</si>
  <si>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</si>
  <si>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</si>
  <si>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</si>
  <si>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</si>
  <si>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</si>
  <si>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</si>
  <si>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</si>
  <si>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</si>
  <si>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</si>
  <si>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</si>
  <si>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</si>
  <si>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</si>
  <si>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</si>
  <si>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</si>
  <si>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</si>
  <si>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</si>
  <si>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</si>
  <si>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</si>
  <si>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</si>
  <si>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</si>
  <si>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</si>
  <si>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</si>
  <si>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</si>
  <si>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</si>
  <si>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</si>
  <si>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</si>
  <si>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</si>
  <si>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</si>
  <si>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</si>
  <si>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</si>
  <si>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</si>
  <si>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</si>
  <si>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</si>
  <si>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</si>
  <si>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</si>
  <si>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</si>
  <si>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</si>
  <si>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</si>
  <si>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</si>
  <si>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</si>
  <si>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</si>
  <si>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</si>
  <si>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</si>
  <si>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</si>
  <si>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</si>
  <si>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</si>
  <si>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</si>
  <si>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</si>
  <si>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</si>
  <si>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</si>
  <si>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</si>
  <si>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</si>
  <si>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</si>
  <si>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</si>
  <si>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</si>
  <si>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</si>
  <si>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</si>
  <si>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</si>
  <si>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</si>
  <si>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</si>
  <si>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</si>
  <si>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</si>
  <si>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</si>
  <si>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</si>
  <si>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</si>
  <si>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</si>
  <si>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</si>
  <si>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</si>
  <si>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</si>
  <si>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</si>
  <si>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</si>
  <si>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</si>
  <si>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</si>
  <si>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</si>
  <si>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</si>
  <si>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</si>
  <si>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</si>
  <si>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</si>
  <si>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</si>
  <si>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</si>
  <si>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</si>
  <si>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</si>
  <si>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</si>
  <si>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</si>
  <si>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</si>
  <si>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</si>
  <si>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</si>
  <si>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</si>
  <si>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</si>
  <si>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</si>
  <si>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</si>
  <si>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</si>
  <si>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</si>
  <si>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</si>
  <si>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</si>
  <si>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</si>
  <si>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</si>
  <si>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</si>
  <si>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</si>
  <si>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</si>
  <si>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</si>
  <si>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</si>
  <si>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</si>
  <si>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</si>
  <si>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</si>
  <si>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</si>
  <si>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</si>
  <si>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</si>
  <si>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</si>
  <si>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</si>
  <si>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</si>
  <si>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</si>
  <si>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</si>
  <si>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</si>
  <si>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</si>
  <si>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</si>
  <si>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</si>
  <si>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</si>
  <si>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</si>
  <si>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</si>
  <si>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</si>
  <si>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</si>
  <si>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</si>
  <si>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</si>
  <si>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</si>
  <si>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</si>
  <si>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</si>
  <si>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</si>
  <si>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</si>
  <si>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</si>
  <si>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</si>
  <si>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</si>
  <si>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</si>
  <si>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</si>
  <si>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</si>
  <si>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</si>
  <si>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</si>
  <si>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</si>
  <si>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</si>
  <si>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</si>
  <si>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</si>
  <si>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</si>
  <si>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</si>
  <si>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</si>
  <si>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</si>
  <si>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</si>
  <si>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</si>
  <si>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</si>
  <si>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</si>
  <si>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</si>
  <si>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</si>
  <si>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</si>
  <si>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</si>
  <si>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</si>
  <si>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</si>
  <si>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</si>
  <si>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</si>
  <si>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</si>
  <si>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</si>
  <si>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</si>
  <si>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</si>
  <si>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</si>
  <si>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</si>
  <si>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</si>
  <si>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</si>
  <si>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</si>
  <si>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</si>
  <si>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</si>
  <si>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</si>
  <si>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</si>
  <si>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</si>
  <si>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</si>
  <si>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</si>
  <si>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</si>
  <si>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</si>
  <si>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</si>
  <si>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</si>
  <si>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</si>
  <si>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</si>
  <si>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</si>
  <si>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</si>
  <si>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</si>
  <si>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</si>
  <si>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</si>
  <si>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</si>
  <si>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</si>
  <si>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</si>
  <si>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</si>
  <si>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</si>
  <si>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</si>
  <si>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</si>
  <si>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</si>
  <si>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</si>
  <si>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</si>
  <si>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</si>
  <si>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</si>
  <si>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</si>
  <si>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</si>
  <si>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</si>
  <si>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</si>
  <si>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</si>
  <si>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</si>
  <si>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</si>
  <si>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</si>
  <si>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</si>
  <si>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</si>
  <si>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</si>
  <si>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</si>
  <si>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</si>
  <si>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</si>
  <si>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</si>
  <si>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</si>
  <si>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</si>
  <si>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</si>
  <si>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</si>
  <si>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</si>
  <si>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</si>
  <si>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</si>
  <si>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</si>
  <si>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</si>
  <si>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</si>
  <si>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</si>
  <si>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</si>
  <si>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</si>
  <si>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</si>
  <si>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</si>
  <si>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</si>
  <si>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</si>
  <si>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</si>
  <si>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</si>
  <si>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</si>
  <si>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</si>
  <si>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</si>
  <si>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</si>
  <si>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</si>
  <si>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</si>
  <si>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</si>
  <si>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</si>
  <si>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</si>
  <si>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</si>
  <si>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</si>
  <si>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</si>
  <si>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</si>
  <si>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</si>
  <si>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</si>
  <si>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</si>
  <si>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</si>
  <si>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</si>
  <si>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</si>
  <si>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</si>
  <si>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</si>
  <si>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</si>
  <si>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</si>
  <si>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</si>
  <si>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</si>
  <si>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</si>
  <si>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</si>
  <si>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</si>
  <si>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</si>
  <si>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</si>
  <si>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</si>
  <si>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</si>
  <si>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</si>
  <si>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</si>
  <si>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</si>
  <si>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</si>
  <si>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</si>
  <si>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</si>
  <si>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</si>
  <si>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</si>
  <si>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</si>
  <si>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</si>
  <si>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</si>
  <si>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</si>
  <si>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</si>
  <si>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</si>
  <si>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</si>
  <si>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</si>
  <si>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</si>
  <si>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</si>
  <si>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</si>
  <si>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</si>
  <si>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</si>
  <si>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</si>
  <si>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</si>
  <si>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</si>
  <si>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</si>
  <si>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</si>
  <si>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</si>
  <si>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</si>
  <si>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</si>
  <si>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</si>
  <si>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</si>
  <si>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</si>
  <si>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</si>
  <si>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</si>
  <si>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</si>
  <si>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</si>
  <si>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</si>
  <si>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</si>
  <si>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</si>
  <si>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</si>
  <si>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</si>
  <si>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</si>
  <si>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</si>
  <si>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</si>
  <si>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</si>
  <si>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</si>
  <si>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</si>
  <si>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</si>
  <si>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</si>
  <si>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</si>
  <si>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</si>
  <si>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</si>
  <si>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</si>
  <si>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</si>
  <si>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</si>
  <si>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</si>
  <si>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</si>
  <si>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</si>
  <si>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</si>
  <si>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</si>
  <si>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</si>
  <si>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</si>
  <si>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</si>
  <si>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</si>
  <si>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</si>
  <si>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</si>
  <si>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</si>
  <si>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</si>
  <si>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</si>
  <si>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</si>
  <si>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</si>
  <si>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</si>
  <si>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</si>
  <si>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</si>
  <si>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</si>
  <si>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</si>
  <si>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</si>
  <si>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</si>
  <si>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</si>
  <si>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</si>
  <si>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</si>
  <si>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</si>
  <si>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</si>
  <si>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</si>
  <si>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</si>
  <si>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</si>
  <si>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</si>
  <si>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</si>
  <si>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</si>
  <si>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</si>
  <si>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</si>
  <si>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</si>
  <si>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</si>
  <si>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</si>
  <si>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</si>
  <si>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</si>
  <si>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</si>
  <si>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</si>
  <si>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</si>
  <si>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</si>
  <si>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</si>
  <si>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</si>
  <si>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</si>
  <si>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</si>
  <si>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</si>
  <si>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</si>
  <si>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</si>
  <si>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</si>
  <si>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</si>
  <si>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</si>
  <si>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</si>
  <si>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</si>
  <si>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</si>
  <si>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</si>
  <si>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</si>
  <si>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</si>
  <si>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</si>
  <si>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</si>
  <si>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</si>
  <si>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</si>
  <si>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</si>
  <si>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</si>
  <si>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</si>
  <si>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</si>
  <si>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</si>
  <si>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</si>
  <si>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</si>
  <si>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</si>
  <si>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</si>
  <si>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</si>
  <si>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</si>
  <si>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</si>
  <si>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</si>
  <si>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</si>
  <si>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</si>
  <si>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</si>
  <si>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</si>
  <si>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</si>
  <si>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</si>
  <si>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</si>
  <si>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</si>
  <si>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</si>
  <si>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</si>
  <si>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</si>
  <si>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</si>
  <si>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</si>
  <si>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</si>
  <si>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</si>
  <si>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</si>
  <si>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</si>
  <si>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</si>
  <si>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</si>
  <si>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</si>
  <si>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</si>
  <si>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</si>
  <si>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</si>
  <si>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</si>
  <si>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</si>
  <si>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</si>
  <si>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</si>
  <si>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</si>
  <si>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</si>
  <si>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</si>
  <si>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</si>
  <si>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</si>
  <si>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</si>
  <si>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</si>
  <si>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</si>
  <si>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</si>
  <si>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</si>
  <si>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</si>
  <si>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</si>
  <si>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</si>
  <si>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</si>
  <si>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</si>
  <si>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</si>
  <si>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</si>
  <si>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</si>
  <si>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</si>
  <si>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</si>
  <si>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</si>
  <si>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</si>
  <si>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</si>
  <si>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</si>
  <si>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</si>
  <si>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</si>
  <si>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</si>
  <si>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</si>
  <si>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</si>
  <si>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</si>
  <si>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</si>
  <si>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</si>
  <si>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</si>
  <si>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</si>
  <si>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</si>
  <si>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</si>
  <si>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</si>
  <si>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</si>
  <si>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</si>
  <si>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</si>
  <si>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</si>
  <si>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</si>
  <si>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</si>
  <si>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</si>
  <si>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</si>
  <si>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</si>
  <si>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</si>
  <si>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</si>
  <si>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</si>
  <si>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</si>
  <si>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</si>
  <si>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</si>
  <si>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</si>
  <si>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</si>
  <si>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</si>
  <si>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</si>
  <si>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</si>
  <si>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</si>
  <si>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</si>
  <si>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</si>
  <si>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</si>
  <si>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</si>
  <si>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</si>
  <si>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</si>
  <si>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</si>
  <si>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</si>
  <si>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</si>
  <si>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</si>
  <si>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</si>
  <si>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</si>
  <si>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</si>
  <si>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</si>
  <si>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</si>
  <si>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</si>
  <si>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</si>
  <si>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</si>
  <si>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</si>
  <si>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</si>
  <si>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</si>
  <si>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</si>
  <si>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</si>
  <si>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</si>
  <si>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</si>
  <si>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</si>
  <si>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</si>
  <si>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</si>
  <si>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</si>
  <si>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</si>
  <si>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</si>
  <si>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</si>
  <si>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</si>
  <si>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</si>
  <si>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</si>
  <si>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</si>
  <si>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</si>
  <si>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</si>
  <si>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</si>
  <si>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</si>
  <si>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</si>
  <si>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</si>
  <si>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</si>
  <si>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</si>
  <si>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</si>
  <si>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</si>
  <si>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</si>
  <si>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</si>
  <si>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</si>
  <si>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</si>
  <si>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</si>
  <si>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</si>
  <si>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</si>
  <si>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</si>
  <si>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</si>
  <si>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</si>
  <si>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</si>
  <si>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</si>
  <si>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</si>
  <si>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</si>
  <si>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</si>
  <si>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</si>
  <si>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</si>
  <si>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</si>
  <si>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</si>
  <si>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</si>
  <si>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</si>
  <si>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</si>
  <si>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</si>
  <si>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</si>
  <si>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</si>
  <si>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</si>
  <si>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</si>
  <si>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</si>
  <si>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</si>
  <si>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</si>
  <si>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</si>
  <si>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</si>
  <si>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</si>
  <si>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</si>
  <si>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</si>
  <si>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</si>
  <si>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</si>
  <si>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</si>
  <si>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</si>
  <si>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</si>
  <si>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</si>
  <si>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</si>
  <si>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</si>
  <si>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</si>
  <si>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</si>
  <si>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</si>
  <si>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</si>
  <si>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</si>
  <si>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</si>
  <si>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</si>
  <si>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</si>
  <si>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</si>
  <si>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</si>
  <si>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</si>
  <si>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</si>
  <si>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</si>
  <si>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</si>
  <si>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</si>
  <si>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</si>
  <si>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</si>
  <si>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</si>
  <si>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</si>
  <si>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</si>
  <si>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</si>
  <si>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</si>
  <si>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</si>
  <si>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</si>
  <si>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</si>
  <si>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</si>
  <si>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</si>
  <si>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</si>
  <si>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</si>
  <si>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</si>
  <si>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</si>
  <si>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</si>
  <si>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</si>
  <si>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</si>
  <si>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</si>
  <si>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</si>
  <si>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</si>
  <si>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</si>
  <si>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</si>
  <si>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</si>
  <si>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</si>
  <si>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</si>
  <si>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</si>
  <si>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</si>
  <si>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</si>
  <si>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</si>
  <si>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</si>
  <si>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</si>
  <si>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</si>
  <si>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</si>
  <si>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</si>
  <si>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</si>
  <si>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</si>
  <si>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</si>
  <si>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</si>
  <si>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</si>
  <si>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</si>
  <si>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</si>
  <si>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</si>
  <si>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</si>
  <si>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</si>
  <si>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</si>
  <si>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</si>
  <si>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</si>
  <si>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</si>
  <si>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</si>
  <si>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</si>
  <si>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</si>
  <si>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</si>
  <si>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</si>
  <si>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</si>
  <si>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</si>
  <si>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</si>
  <si>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</si>
  <si>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</si>
  <si>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</si>
  <si>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</si>
  <si>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</si>
  <si>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</si>
  <si>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</si>
  <si>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</si>
  <si>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</si>
  <si>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</si>
  <si>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</si>
  <si>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</si>
  <si>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</si>
  <si>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</si>
  <si>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</si>
  <si>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</si>
  <si>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</si>
  <si>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</si>
  <si>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</si>
  <si>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</si>
  <si>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</si>
  <si>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</si>
  <si>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</si>
  <si>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</si>
  <si>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</si>
  <si>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</si>
  <si>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</si>
  <si>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</si>
  <si>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</si>
  <si>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</si>
  <si>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</si>
  <si>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</si>
  <si>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</si>
  <si>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</si>
  <si>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</si>
  <si>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</si>
  <si>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</si>
  <si>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</si>
  <si>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</si>
  <si>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</si>
  <si>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</si>
  <si>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</si>
  <si>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</si>
  <si>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</si>
  <si>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</si>
  <si>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</si>
  <si>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</si>
  <si>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</si>
  <si>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</si>
  <si>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</si>
  <si>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</si>
  <si>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</si>
  <si>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</si>
  <si>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</si>
  <si>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</si>
  <si>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</si>
  <si>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44021</t>
  </si>
  <si>
    <t>GENT</t>
  </si>
  <si>
    <t>Paarden&amp;pony's 200 - 600 kg</t>
  </si>
  <si>
    <t>Paarden&amp;pony's &lt; 200 kg</t>
  </si>
  <si>
    <t>vloeibaar gas (MWh)</t>
  </si>
  <si>
    <t>interne verbrandingsmotor</t>
  </si>
  <si>
    <t>WKK interne verbrandinsgmotor (vloeibaar)</t>
  </si>
  <si>
    <t>IMEWO</t>
  </si>
  <si>
    <t>WKK interne verbrandinsgmotor (gas)</t>
  </si>
  <si>
    <t>stirlingmotor</t>
  </si>
  <si>
    <t>GASELWEST</t>
  </si>
  <si>
    <t>biogas - RWZI</t>
  </si>
  <si>
    <t>niet WKK interne verbrandingsmotor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</si>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</sst>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3E9884B-E24C-442F-AC21-7F4CF862ABE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44021</v>
      </c>
      <c r="B6" s="384"/>
      <c r="C6" s="385"/>
    </row>
    <row r="7" spans="1:7" s="382" customFormat="1" ht="15.75" customHeight="1">
      <c r="A7" s="386" t="str">
        <f>txtMunicipality</f>
        <v>GENT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0.20380857942377811</v>
      </c>
      <c r="C17" s="496">
        <f ca="1">'EF ele_warmte'!B22</f>
        <v>9.1004529180543636E-2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0.20380857942377811</v>
      </c>
      <c r="C29" s="497">
        <f ca="1">'EF ele_warmte'!B22</f>
        <v>9.1004529180543636E-2</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117337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3215</v>
      </c>
      <c r="C14" s="327"/>
      <c r="D14" s="327"/>
      <c r="E14" s="327"/>
      <c r="F14" s="327"/>
    </row>
    <row r="15" spans="1:6">
      <c r="A15" s="1258" t="s">
        <v>177</v>
      </c>
      <c r="B15" s="1259">
        <v>33</v>
      </c>
      <c r="C15" s="327"/>
      <c r="D15" s="327"/>
      <c r="E15" s="327"/>
      <c r="F15" s="327"/>
    </row>
    <row r="16" spans="1:6">
      <c r="A16" s="1258" t="s">
        <v>6</v>
      </c>
      <c r="B16" s="1259">
        <v>1286</v>
      </c>
      <c r="C16" s="327"/>
      <c r="D16" s="327"/>
      <c r="E16" s="327"/>
      <c r="F16" s="327"/>
    </row>
    <row r="17" spans="1:6">
      <c r="A17" s="1258" t="s">
        <v>7</v>
      </c>
      <c r="B17" s="1259">
        <v>876</v>
      </c>
      <c r="C17" s="327"/>
      <c r="D17" s="327"/>
      <c r="E17" s="327"/>
      <c r="F17" s="327"/>
    </row>
    <row r="18" spans="1:6">
      <c r="A18" s="1258" t="s">
        <v>8</v>
      </c>
      <c r="B18" s="1259">
        <v>1401</v>
      </c>
      <c r="C18" s="327"/>
      <c r="D18" s="327"/>
      <c r="E18" s="327"/>
      <c r="F18" s="327"/>
    </row>
    <row r="19" spans="1:6">
      <c r="A19" s="1258" t="s">
        <v>9</v>
      </c>
      <c r="B19" s="1259">
        <v>1226</v>
      </c>
      <c r="C19" s="327"/>
      <c r="D19" s="327"/>
      <c r="E19" s="327"/>
      <c r="F19" s="327"/>
    </row>
    <row r="20" spans="1:6">
      <c r="A20" s="1258" t="s">
        <v>10</v>
      </c>
      <c r="B20" s="1259">
        <v>890</v>
      </c>
      <c r="C20" s="327"/>
      <c r="D20" s="327"/>
      <c r="E20" s="327"/>
      <c r="F20" s="327"/>
    </row>
    <row r="21" spans="1:6">
      <c r="A21" s="1258" t="s">
        <v>11</v>
      </c>
      <c r="B21" s="1259">
        <v>1995</v>
      </c>
      <c r="C21" s="327"/>
      <c r="D21" s="327"/>
      <c r="E21" s="327"/>
      <c r="F21" s="327"/>
    </row>
    <row r="22" spans="1:6">
      <c r="A22" s="1258" t="s">
        <v>12</v>
      </c>
      <c r="B22" s="1259">
        <v>3978</v>
      </c>
      <c r="C22" s="327"/>
      <c r="D22" s="327"/>
      <c r="E22" s="327"/>
      <c r="F22" s="327"/>
    </row>
    <row r="23" spans="1:6">
      <c r="A23" s="1258" t="s">
        <v>13</v>
      </c>
      <c r="B23" s="1259">
        <v>74</v>
      </c>
      <c r="C23" s="327"/>
      <c r="D23" s="327"/>
      <c r="E23" s="327"/>
      <c r="F23" s="327"/>
    </row>
    <row r="24" spans="1:6">
      <c r="A24" s="1258" t="s">
        <v>14</v>
      </c>
      <c r="B24" s="1259">
        <v>8</v>
      </c>
      <c r="C24" s="327"/>
      <c r="D24" s="327"/>
      <c r="E24" s="327"/>
      <c r="F24" s="327"/>
    </row>
    <row r="25" spans="1:6">
      <c r="A25" s="1258" t="s">
        <v>15</v>
      </c>
      <c r="B25" s="1259">
        <v>577</v>
      </c>
      <c r="C25" s="327"/>
      <c r="D25" s="327"/>
      <c r="E25" s="327"/>
      <c r="F25" s="327"/>
    </row>
    <row r="26" spans="1:6">
      <c r="A26" s="1258" t="s">
        <v>16</v>
      </c>
      <c r="B26" s="1259">
        <v>368</v>
      </c>
      <c r="C26" s="327"/>
      <c r="D26" s="327"/>
      <c r="E26" s="327"/>
      <c r="F26" s="327"/>
    </row>
    <row r="27" spans="1:6">
      <c r="A27" s="1258" t="s">
        <v>17</v>
      </c>
      <c r="B27" s="1259">
        <v>6</v>
      </c>
      <c r="C27" s="327"/>
      <c r="D27" s="327"/>
      <c r="E27" s="327"/>
      <c r="F27" s="327"/>
    </row>
    <row r="28" spans="1:6">
      <c r="A28" s="1258" t="s">
        <v>18</v>
      </c>
      <c r="B28" s="1260">
        <v>2</v>
      </c>
      <c r="C28" s="327"/>
      <c r="D28" s="327"/>
      <c r="E28" s="327"/>
      <c r="F28" s="327"/>
    </row>
    <row r="29" spans="1:6">
      <c r="A29" s="1258" t="s">
        <v>939</v>
      </c>
      <c r="B29" s="1260">
        <v>512</v>
      </c>
      <c r="C29" s="327"/>
      <c r="D29" s="327"/>
      <c r="E29" s="327"/>
      <c r="F29" s="327"/>
    </row>
    <row r="30" spans="1:6">
      <c r="A30" s="1253" t="s">
        <v>940</v>
      </c>
      <c r="B30" s="1261">
        <v>84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9</v>
      </c>
      <c r="F35" s="1259">
        <v>103765.739044129</v>
      </c>
    </row>
    <row r="36" spans="1:6">
      <c r="A36" s="1258" t="s">
        <v>24</v>
      </c>
      <c r="B36" s="1258" t="s">
        <v>26</v>
      </c>
      <c r="C36" s="1259">
        <v>20</v>
      </c>
      <c r="D36" s="1259">
        <v>1286990.9495872001</v>
      </c>
      <c r="E36" s="1259">
        <v>54</v>
      </c>
      <c r="F36" s="1259">
        <v>6081965.7529095504</v>
      </c>
    </row>
    <row r="37" spans="1:6">
      <c r="A37" s="1258" t="s">
        <v>24</v>
      </c>
      <c r="B37" s="1258" t="s">
        <v>27</v>
      </c>
      <c r="C37" s="1259">
        <v>0</v>
      </c>
      <c r="D37" s="1259">
        <v>0</v>
      </c>
      <c r="E37" s="1259">
        <v>3</v>
      </c>
      <c r="F37" s="1259">
        <v>98493.655257340797</v>
      </c>
    </row>
    <row r="38" spans="1:6">
      <c r="A38" s="1258" t="s">
        <v>24</v>
      </c>
      <c r="B38" s="1258" t="s">
        <v>28</v>
      </c>
      <c r="C38" s="1259">
        <v>7</v>
      </c>
      <c r="D38" s="1259">
        <v>133632.653925372</v>
      </c>
      <c r="E38" s="1259">
        <v>15</v>
      </c>
      <c r="F38" s="1259">
        <v>1030389.32366737</v>
      </c>
    </row>
    <row r="39" spans="1:6">
      <c r="A39" s="1258" t="s">
        <v>29</v>
      </c>
      <c r="B39" s="1258" t="s">
        <v>30</v>
      </c>
      <c r="C39" s="1259">
        <v>85928</v>
      </c>
      <c r="D39" s="1259">
        <v>1306066017.3478355</v>
      </c>
      <c r="E39" s="1259">
        <v>116001</v>
      </c>
      <c r="F39" s="1259">
        <v>383392230.12347311</v>
      </c>
    </row>
    <row r="40" spans="1:6">
      <c r="A40" s="1258" t="s">
        <v>29</v>
      </c>
      <c r="B40" s="1258" t="s">
        <v>28</v>
      </c>
      <c r="C40" s="1259">
        <v>4</v>
      </c>
      <c r="D40" s="1259">
        <v>300676.74553293001</v>
      </c>
      <c r="E40" s="1259">
        <v>4</v>
      </c>
      <c r="F40" s="1259">
        <v>20664.5488331579</v>
      </c>
    </row>
    <row r="41" spans="1:6">
      <c r="A41" s="1258" t="s">
        <v>31</v>
      </c>
      <c r="B41" s="1258" t="s">
        <v>32</v>
      </c>
      <c r="C41" s="1259">
        <v>751</v>
      </c>
      <c r="D41" s="1259">
        <v>36816663.360970199</v>
      </c>
      <c r="E41" s="1259">
        <v>1537</v>
      </c>
      <c r="F41" s="1259">
        <v>50331836.983780898</v>
      </c>
    </row>
    <row r="42" spans="1:6">
      <c r="A42" s="1258" t="s">
        <v>31</v>
      </c>
      <c r="B42" s="1258" t="s">
        <v>33</v>
      </c>
      <c r="C42" s="1259">
        <v>8</v>
      </c>
      <c r="D42" s="1259">
        <v>8669311.7386123501</v>
      </c>
      <c r="E42" s="1259">
        <v>14</v>
      </c>
      <c r="F42" s="1259">
        <v>32384470.9551211</v>
      </c>
    </row>
    <row r="43" spans="1:6">
      <c r="A43" s="1258" t="s">
        <v>31</v>
      </c>
      <c r="B43" s="1258" t="s">
        <v>34</v>
      </c>
      <c r="C43" s="1259">
        <v>0</v>
      </c>
      <c r="D43" s="1259">
        <v>0</v>
      </c>
      <c r="E43" s="1259">
        <v>0</v>
      </c>
      <c r="F43" s="1259">
        <v>0</v>
      </c>
    </row>
    <row r="44" spans="1:6">
      <c r="A44" s="1258" t="s">
        <v>31</v>
      </c>
      <c r="B44" s="1258" t="s">
        <v>35</v>
      </c>
      <c r="C44" s="1259">
        <v>56</v>
      </c>
      <c r="D44" s="1259">
        <v>41566894.457587302</v>
      </c>
      <c r="E44" s="1259">
        <v>150</v>
      </c>
      <c r="F44" s="1259">
        <v>29211522.803481799</v>
      </c>
    </row>
    <row r="45" spans="1:6">
      <c r="A45" s="1258" t="s">
        <v>31</v>
      </c>
      <c r="B45" s="1258" t="s">
        <v>36</v>
      </c>
      <c r="C45" s="1259">
        <v>6</v>
      </c>
      <c r="D45" s="1259">
        <v>532899.46121297905</v>
      </c>
      <c r="E45" s="1259">
        <v>32</v>
      </c>
      <c r="F45" s="1259">
        <v>62835648.390747398</v>
      </c>
    </row>
    <row r="46" spans="1:6">
      <c r="A46" s="1258" t="s">
        <v>31</v>
      </c>
      <c r="B46" s="1258" t="s">
        <v>37</v>
      </c>
      <c r="C46" s="1259">
        <v>0</v>
      </c>
      <c r="D46" s="1259">
        <v>0</v>
      </c>
      <c r="E46" s="1259">
        <v>0</v>
      </c>
      <c r="F46" s="1259">
        <v>0</v>
      </c>
    </row>
    <row r="47" spans="1:6">
      <c r="A47" s="1258" t="s">
        <v>31</v>
      </c>
      <c r="B47" s="1258" t="s">
        <v>38</v>
      </c>
      <c r="C47" s="1259">
        <v>79</v>
      </c>
      <c r="D47" s="1259">
        <v>3059818.6282093101</v>
      </c>
      <c r="E47" s="1259">
        <v>123</v>
      </c>
      <c r="F47" s="1259">
        <v>13755921.0904199</v>
      </c>
    </row>
    <row r="48" spans="1:6">
      <c r="A48" s="1258" t="s">
        <v>31</v>
      </c>
      <c r="B48" s="1258" t="s">
        <v>28</v>
      </c>
      <c r="C48" s="1259">
        <v>265</v>
      </c>
      <c r="D48" s="1259">
        <v>196846719.05573601</v>
      </c>
      <c r="E48" s="1259">
        <v>350</v>
      </c>
      <c r="F48" s="1259">
        <v>159463677.14950299</v>
      </c>
    </row>
    <row r="49" spans="1:6">
      <c r="A49" s="1258" t="s">
        <v>31</v>
      </c>
      <c r="B49" s="1258" t="s">
        <v>39</v>
      </c>
      <c r="C49" s="1259">
        <v>18</v>
      </c>
      <c r="D49" s="1259">
        <v>562650.27727884904</v>
      </c>
      <c r="E49" s="1259">
        <v>25</v>
      </c>
      <c r="F49" s="1259">
        <v>376231.05526769202</v>
      </c>
    </row>
    <row r="50" spans="1:6">
      <c r="A50" s="1258" t="s">
        <v>31</v>
      </c>
      <c r="B50" s="1258" t="s">
        <v>40</v>
      </c>
      <c r="C50" s="1259">
        <v>147</v>
      </c>
      <c r="D50" s="1259">
        <v>27572665.922025699</v>
      </c>
      <c r="E50" s="1259">
        <v>215</v>
      </c>
      <c r="F50" s="1259">
        <v>31332773.203883201</v>
      </c>
    </row>
    <row r="51" spans="1:6">
      <c r="A51" s="1258" t="s">
        <v>41</v>
      </c>
      <c r="B51" s="1258" t="s">
        <v>42</v>
      </c>
      <c r="C51" s="1259">
        <v>74</v>
      </c>
      <c r="D51" s="1259">
        <v>3951060.6459866199</v>
      </c>
      <c r="E51" s="1259">
        <v>225</v>
      </c>
      <c r="F51" s="1259">
        <v>2422043.5673444401</v>
      </c>
    </row>
    <row r="52" spans="1:6">
      <c r="A52" s="1258" t="s">
        <v>41</v>
      </c>
      <c r="B52" s="1258" t="s">
        <v>28</v>
      </c>
      <c r="C52" s="1259">
        <v>34</v>
      </c>
      <c r="D52" s="1259">
        <v>1892910.0518590901</v>
      </c>
      <c r="E52" s="1259">
        <v>58</v>
      </c>
      <c r="F52" s="1259">
        <v>588836.09573585703</v>
      </c>
    </row>
    <row r="53" spans="1:6">
      <c r="A53" s="1258" t="s">
        <v>43</v>
      </c>
      <c r="B53" s="1258" t="s">
        <v>44</v>
      </c>
      <c r="C53" s="1259">
        <v>2557</v>
      </c>
      <c r="D53" s="1259">
        <v>73672805.431769893</v>
      </c>
      <c r="E53" s="1259">
        <v>4220</v>
      </c>
      <c r="F53" s="1259">
        <v>20976757.417396899</v>
      </c>
    </row>
    <row r="54" spans="1:6">
      <c r="A54" s="1258" t="s">
        <v>45</v>
      </c>
      <c r="B54" s="1258" t="s">
        <v>46</v>
      </c>
      <c r="C54" s="1259">
        <v>0</v>
      </c>
      <c r="D54" s="1259">
        <v>0</v>
      </c>
      <c r="E54" s="1259">
        <v>12</v>
      </c>
      <c r="F54" s="1259">
        <v>15501861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860</v>
      </c>
      <c r="D57" s="1259">
        <v>49226057.858709</v>
      </c>
      <c r="E57" s="1259">
        <v>1299</v>
      </c>
      <c r="F57" s="1259">
        <v>38780261.348059401</v>
      </c>
    </row>
    <row r="58" spans="1:6">
      <c r="A58" s="1258" t="s">
        <v>48</v>
      </c>
      <c r="B58" s="1258" t="s">
        <v>50</v>
      </c>
      <c r="C58" s="1259">
        <v>616</v>
      </c>
      <c r="D58" s="1259">
        <v>86391855.057433903</v>
      </c>
      <c r="E58" s="1259">
        <v>879</v>
      </c>
      <c r="F58" s="1259">
        <v>88040101.594953209</v>
      </c>
    </row>
    <row r="59" spans="1:6">
      <c r="A59" s="1258" t="s">
        <v>48</v>
      </c>
      <c r="B59" s="1258" t="s">
        <v>51</v>
      </c>
      <c r="C59" s="1259">
        <v>2022</v>
      </c>
      <c r="D59" s="1259">
        <v>86865447.588383093</v>
      </c>
      <c r="E59" s="1259">
        <v>3558</v>
      </c>
      <c r="F59" s="1259">
        <v>160766614.80386499</v>
      </c>
    </row>
    <row r="60" spans="1:6">
      <c r="A60" s="1258" t="s">
        <v>48</v>
      </c>
      <c r="B60" s="1258" t="s">
        <v>52</v>
      </c>
      <c r="C60" s="1259">
        <v>1578</v>
      </c>
      <c r="D60" s="1259">
        <v>168723677.70130599</v>
      </c>
      <c r="E60" s="1259">
        <v>2151</v>
      </c>
      <c r="F60" s="1259">
        <v>80417387.610832796</v>
      </c>
    </row>
    <row r="61" spans="1:6">
      <c r="A61" s="1258" t="s">
        <v>48</v>
      </c>
      <c r="B61" s="1258" t="s">
        <v>53</v>
      </c>
      <c r="C61" s="1259">
        <v>4498</v>
      </c>
      <c r="D61" s="1259">
        <v>328517169.29715598</v>
      </c>
      <c r="E61" s="1259">
        <v>8530</v>
      </c>
      <c r="F61" s="1259">
        <v>208032394.47030199</v>
      </c>
    </row>
    <row r="62" spans="1:6">
      <c r="A62" s="1258" t="s">
        <v>48</v>
      </c>
      <c r="B62" s="1258" t="s">
        <v>54</v>
      </c>
      <c r="C62" s="1259">
        <v>241</v>
      </c>
      <c r="D62" s="1259">
        <v>82598084.668977901</v>
      </c>
      <c r="E62" s="1259">
        <v>269</v>
      </c>
      <c r="F62" s="1259">
        <v>77749031.778535098</v>
      </c>
    </row>
    <row r="63" spans="1:6">
      <c r="A63" s="1258" t="s">
        <v>48</v>
      </c>
      <c r="B63" s="1258" t="s">
        <v>28</v>
      </c>
      <c r="C63" s="1259">
        <v>816</v>
      </c>
      <c r="D63" s="1259">
        <v>169057237.06304899</v>
      </c>
      <c r="E63" s="1259">
        <v>913</v>
      </c>
      <c r="F63" s="1259">
        <v>61542648.996774703</v>
      </c>
    </row>
    <row r="64" spans="1:6">
      <c r="A64" s="1258" t="s">
        <v>55</v>
      </c>
      <c r="B64" s="1258" t="s">
        <v>56</v>
      </c>
      <c r="C64" s="1259">
        <v>0</v>
      </c>
      <c r="D64" s="1259">
        <v>0</v>
      </c>
      <c r="E64" s="1259">
        <v>0</v>
      </c>
      <c r="F64" s="1259">
        <v>0</v>
      </c>
    </row>
    <row r="65" spans="1:6">
      <c r="A65" s="1258" t="s">
        <v>55</v>
      </c>
      <c r="B65" s="1258" t="s">
        <v>28</v>
      </c>
      <c r="C65" s="1259">
        <v>17</v>
      </c>
      <c r="D65" s="1259">
        <v>887886.01093151502</v>
      </c>
      <c r="E65" s="1259">
        <v>23</v>
      </c>
      <c r="F65" s="1259">
        <v>600820.86997796095</v>
      </c>
    </row>
    <row r="66" spans="1:6">
      <c r="A66" s="1258" t="s">
        <v>55</v>
      </c>
      <c r="B66" s="1258" t="s">
        <v>57</v>
      </c>
      <c r="C66" s="1259">
        <v>3</v>
      </c>
      <c r="D66" s="1259">
        <v>83646.450686765893</v>
      </c>
      <c r="E66" s="1259">
        <v>11</v>
      </c>
      <c r="F66" s="1259">
        <v>921870.20752093894</v>
      </c>
    </row>
    <row r="67" spans="1:6">
      <c r="A67" s="1258" t="s">
        <v>55</v>
      </c>
      <c r="B67" s="1258" t="s">
        <v>58</v>
      </c>
      <c r="C67" s="1259">
        <v>0</v>
      </c>
      <c r="D67" s="1259">
        <v>0</v>
      </c>
      <c r="E67" s="1259">
        <v>0</v>
      </c>
      <c r="F67" s="1259">
        <v>0</v>
      </c>
    </row>
    <row r="68" spans="1:6">
      <c r="A68" s="1253" t="s">
        <v>55</v>
      </c>
      <c r="B68" s="1253" t="s">
        <v>59</v>
      </c>
      <c r="C68" s="1261">
        <v>27</v>
      </c>
      <c r="D68" s="1261">
        <v>2775655.2947397102</v>
      </c>
      <c r="E68" s="1261">
        <v>110</v>
      </c>
      <c r="F68" s="1261">
        <v>12081297.4734874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601533342</v>
      </c>
      <c r="E73" s="445"/>
      <c r="F73" s="327"/>
    </row>
    <row r="74" spans="1:6">
      <c r="A74" s="1258" t="s">
        <v>63</v>
      </c>
      <c r="B74" s="1258" t="s">
        <v>724</v>
      </c>
      <c r="C74" s="1271" t="s">
        <v>718</v>
      </c>
      <c r="D74" s="1259">
        <v>87567597.305531755</v>
      </c>
      <c r="E74" s="445"/>
      <c r="F74" s="327"/>
    </row>
    <row r="75" spans="1:6">
      <c r="A75" s="1258" t="s">
        <v>64</v>
      </c>
      <c r="B75" s="1258" t="s">
        <v>723</v>
      </c>
      <c r="C75" s="1271" t="s">
        <v>719</v>
      </c>
      <c r="D75" s="1259">
        <v>371880662</v>
      </c>
      <c r="E75" s="445"/>
      <c r="F75" s="327"/>
    </row>
    <row r="76" spans="1:6">
      <c r="A76" s="1258" t="s">
        <v>64</v>
      </c>
      <c r="B76" s="1258" t="s">
        <v>724</v>
      </c>
      <c r="C76" s="1271" t="s">
        <v>720</v>
      </c>
      <c r="D76" s="1259">
        <v>28780887.305531751</v>
      </c>
      <c r="E76" s="445"/>
      <c r="F76" s="327"/>
    </row>
    <row r="77" spans="1:6">
      <c r="A77" s="1258" t="s">
        <v>65</v>
      </c>
      <c r="B77" s="1258" t="s">
        <v>723</v>
      </c>
      <c r="C77" s="1271" t="s">
        <v>721</v>
      </c>
      <c r="D77" s="1259">
        <v>948024333</v>
      </c>
      <c r="E77" s="445"/>
      <c r="F77" s="327"/>
    </row>
    <row r="78" spans="1:6">
      <c r="A78" s="1253" t="s">
        <v>65</v>
      </c>
      <c r="B78" s="1253" t="s">
        <v>724</v>
      </c>
      <c r="C78" s="1253" t="s">
        <v>722</v>
      </c>
      <c r="D78" s="1261">
        <v>152072838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10750405.388936495</v>
      </c>
      <c r="C83" s="445"/>
      <c r="D83" s="327"/>
      <c r="E83" s="327"/>
      <c r="F83" s="327"/>
    </row>
    <row r="84" spans="1:6">
      <c r="A84" s="1253" t="s">
        <v>324</v>
      </c>
      <c r="B84" s="1261">
        <v>2448535.4231186565</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69777.959571853862</v>
      </c>
      <c r="C90" s="327"/>
      <c r="D90" s="327"/>
      <c r="E90" s="327"/>
      <c r="F90" s="327"/>
    </row>
    <row r="91" spans="1:6">
      <c r="A91" s="1258" t="s">
        <v>67</v>
      </c>
      <c r="B91" s="1259">
        <v>14690.69912474211</v>
      </c>
      <c r="C91" s="327"/>
      <c r="D91" s="327"/>
      <c r="E91" s="327"/>
      <c r="F91" s="327"/>
    </row>
    <row r="92" spans="1:6">
      <c r="A92" s="1253" t="s">
        <v>68</v>
      </c>
      <c r="B92" s="1254">
        <v>28218.777500264583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62627</v>
      </c>
      <c r="C97" s="327"/>
      <c r="D97" s="327"/>
      <c r="E97" s="327"/>
      <c r="F97" s="327"/>
    </row>
    <row r="98" spans="1:6">
      <c r="A98" s="1258" t="s">
        <v>71</v>
      </c>
      <c r="B98" s="1259">
        <v>127</v>
      </c>
      <c r="C98" s="327"/>
      <c r="D98" s="327"/>
      <c r="E98" s="327"/>
      <c r="F98" s="327"/>
    </row>
    <row r="99" spans="1:6">
      <c r="A99" s="1258" t="s">
        <v>72</v>
      </c>
      <c r="B99" s="1259">
        <v>385</v>
      </c>
      <c r="C99" s="327"/>
      <c r="D99" s="327"/>
      <c r="E99" s="327"/>
      <c r="F99" s="327"/>
    </row>
    <row r="100" spans="1:6">
      <c r="A100" s="1258" t="s">
        <v>73</v>
      </c>
      <c r="B100" s="1259">
        <v>8623</v>
      </c>
      <c r="C100" s="327"/>
      <c r="D100" s="327"/>
      <c r="E100" s="327"/>
      <c r="F100" s="327"/>
    </row>
    <row r="101" spans="1:6">
      <c r="A101" s="1258" t="s">
        <v>74</v>
      </c>
      <c r="B101" s="1259">
        <v>396</v>
      </c>
      <c r="C101" s="327"/>
      <c r="D101" s="327"/>
      <c r="E101" s="327"/>
      <c r="F101" s="327"/>
    </row>
    <row r="102" spans="1:6">
      <c r="A102" s="1258" t="s">
        <v>75</v>
      </c>
      <c r="B102" s="1259">
        <v>4616</v>
      </c>
      <c r="C102" s="327"/>
      <c r="D102" s="327"/>
      <c r="E102" s="327"/>
      <c r="F102" s="327"/>
    </row>
    <row r="103" spans="1:6">
      <c r="A103" s="1258" t="s">
        <v>76</v>
      </c>
      <c r="B103" s="1259">
        <v>1823</v>
      </c>
      <c r="C103" s="327"/>
      <c r="D103" s="327"/>
      <c r="E103" s="327"/>
      <c r="F103" s="327"/>
    </row>
    <row r="104" spans="1:6">
      <c r="A104" s="1258" t="s">
        <v>77</v>
      </c>
      <c r="B104" s="1259">
        <v>21695</v>
      </c>
      <c r="C104" s="327"/>
      <c r="D104" s="327"/>
      <c r="E104" s="327"/>
      <c r="F104" s="327"/>
    </row>
    <row r="105" spans="1:6">
      <c r="A105" s="1253" t="s">
        <v>78</v>
      </c>
      <c r="B105" s="1261">
        <v>311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53</v>
      </c>
      <c r="C123" s="1259">
        <v>128</v>
      </c>
      <c r="D123" s="327"/>
      <c r="E123" s="327"/>
      <c r="F123" s="327"/>
    </row>
    <row r="124" spans="1:6">
      <c r="A124" s="1258" t="s">
        <v>88</v>
      </c>
      <c r="B124" s="1259">
        <v>1</v>
      </c>
      <c r="C124" s="1259">
        <v>3</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432</v>
      </c>
      <c r="C129" s="327"/>
      <c r="D129" s="327"/>
      <c r="E129" s="327"/>
      <c r="F129" s="327"/>
    </row>
    <row r="130" spans="1:6">
      <c r="A130" s="1258" t="s">
        <v>284</v>
      </c>
      <c r="B130" s="1259">
        <v>14</v>
      </c>
      <c r="C130" s="327"/>
      <c r="D130" s="327"/>
      <c r="E130" s="327"/>
      <c r="F130" s="327"/>
    </row>
    <row r="131" spans="1:6">
      <c r="A131" s="1258" t="s">
        <v>285</v>
      </c>
      <c r="B131" s="1259">
        <v>12</v>
      </c>
      <c r="C131" s="327"/>
      <c r="D131" s="327"/>
      <c r="E131" s="327"/>
      <c r="F131" s="327"/>
    </row>
    <row r="132" spans="1:6">
      <c r="A132" s="1253" t="s">
        <v>286</v>
      </c>
      <c r="B132" s="1254">
        <v>22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1553403.1543632504</v>
      </c>
      <c r="C3" s="44" t="s">
        <v>163</v>
      </c>
      <c r="D3" s="44"/>
      <c r="E3" s="157"/>
      <c r="F3" s="44"/>
      <c r="G3" s="44"/>
      <c r="H3" s="44"/>
      <c r="I3" s="44"/>
      <c r="J3" s="44"/>
      <c r="K3" s="97"/>
    </row>
    <row r="4" spans="1:11">
      <c r="A4" s="352" t="s">
        <v>164</v>
      </c>
      <c r="B4" s="50">
        <f>IF(ISERROR('SEAP template'!B78+'SEAP template'!C78),0,'SEAP template'!B78+'SEAP template'!C78)</f>
        <v>125242.88619686056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973.47089841781644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0.20380857942377811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1118.6341730107551</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12292.071428571428</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9.1004529180543636E-2</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15501.861000000001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15501.861000000001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0.20380857942377811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3159.4122688348684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383412.89467230625</v>
      </c>
      <c r="C5" s="18">
        <f>IF(ISERROR('Eigen informatie GS &amp; warmtenet'!B57),0,'Eigen informatie GS &amp; warmtenet'!B57)</f>
        <v>0</v>
      </c>
      <c r="D5" s="31">
        <f>(SUM(HH_hh_gas_kWh,HH_rest_gas_kWh)/1000)*0.902</f>
        <v>1178342.7580722184</v>
      </c>
      <c r="E5" s="18">
        <f>B32*B41</f>
        <v>18529.633369243169</v>
      </c>
      <c r="F5" s="18">
        <f>B36*B45</f>
        <v>564914.7244203455</v>
      </c>
      <c r="G5" s="19"/>
      <c r="H5" s="18"/>
      <c r="I5" s="18"/>
      <c r="J5" s="18">
        <f>B35*B44+C35*C44</f>
        <v>10250.180832424907</v>
      </c>
      <c r="K5" s="18"/>
      <c r="L5" s="18"/>
      <c r="M5" s="18"/>
      <c r="N5" s="18">
        <f>B34*B43+C34*C43</f>
        <v>163211.73882280427</v>
      </c>
      <c r="O5" s="18">
        <f>B52*B53*B54</f>
        <v>880.15666666666664</v>
      </c>
      <c r="P5" s="18">
        <f>B60*B61*B62/1000-B60*B61*B62/1000/B63</f>
        <v>1449.0666666666666</v>
      </c>
    </row>
    <row r="6" spans="1:16">
      <c r="A6" s="17" t="s">
        <v>597</v>
      </c>
      <c r="B6" s="731">
        <f>kWh_PV_kleiner_dan_10kW</f>
        <v>14690.69912474211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398103.59379704838</v>
      </c>
      <c r="C8" s="22">
        <f>C5</f>
        <v>0</v>
      </c>
      <c r="D8" s="22">
        <f>D5</f>
        <v>1178342.7580722184</v>
      </c>
      <c r="E8" s="22">
        <f>E5</f>
        <v>18529.633369243169</v>
      </c>
      <c r="F8" s="22">
        <f>F5</f>
        <v>564914.7244203455</v>
      </c>
      <c r="G8" s="22"/>
      <c r="H8" s="22"/>
      <c r="I8" s="22"/>
      <c r="J8" s="22">
        <f>J5</f>
        <v>10250.180832424907</v>
      </c>
      <c r="K8" s="22"/>
      <c r="L8" s="22">
        <f>L5</f>
        <v>0</v>
      </c>
      <c r="M8" s="22">
        <f>M5</f>
        <v>0</v>
      </c>
      <c r="N8" s="22">
        <f>N5</f>
        <v>163211.73882280427</v>
      </c>
      <c r="O8" s="22">
        <f>O5</f>
        <v>880.15666666666664</v>
      </c>
      <c r="P8" s="22">
        <f>P5</f>
        <v>1449.0666666666666</v>
      </c>
    </row>
    <row r="9" spans="1:16">
      <c r="B9" s="20"/>
      <c r="C9" s="20"/>
      <c r="D9" s="258"/>
      <c r="E9" s="20"/>
      <c r="F9" s="20"/>
      <c r="G9" s="20"/>
      <c r="H9" s="20"/>
      <c r="I9" s="20"/>
      <c r="J9" s="20"/>
      <c r="K9" s="20"/>
      <c r="L9" s="20"/>
      <c r="M9" s="20"/>
      <c r="N9" s="20"/>
      <c r="O9" s="20"/>
      <c r="P9" s="20"/>
    </row>
    <row r="10" spans="1:16">
      <c r="A10" s="25" t="s">
        <v>207</v>
      </c>
      <c r="B10" s="26">
        <f ca="1">'EF ele_warmte'!B12</f>
        <v>0.20380857942377811</v>
      </c>
      <c r="C10" s="26">
        <f ca="1">'EF ele_warmte'!B22</f>
        <v>9.1004529180543636E-2</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81136.927915277236</v>
      </c>
      <c r="C12" s="24">
        <f ca="1">C10*C8</f>
        <v>0</v>
      </c>
      <c r="D12" s="24">
        <f>D8*D10</f>
        <v>238025.23713058812</v>
      </c>
      <c r="E12" s="24">
        <f>E10*E8</f>
        <v>4206.2267748181994</v>
      </c>
      <c r="F12" s="24">
        <f>F10*F8</f>
        <v>150832.23142023225</v>
      </c>
      <c r="G12" s="24"/>
      <c r="H12" s="24"/>
      <c r="I12" s="24"/>
      <c r="J12" s="24">
        <f>J10*J8</f>
        <v>3628.5640146784167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117337</v>
      </c>
      <c r="C26" s="37"/>
      <c r="D26" s="228"/>
    </row>
    <row r="27" spans="1:5" s="16" customFormat="1">
      <c r="A27" s="230" t="s">
        <v>623</v>
      </c>
      <c r="B27" s="38">
        <f>SUM(HH_hh_gas_aantal,HH_rest_gas_aantal)</f>
        <v>85932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81635.399999999994</v>
      </c>
      <c r="C31" s="35" t="s">
        <v>104</v>
      </c>
      <c r="D31" s="174"/>
    </row>
    <row r="32" spans="1:5">
      <c r="A32" s="171" t="s">
        <v>72</v>
      </c>
      <c r="B32" s="34">
        <f>IF((B21*($B$26-($B$27-0.05*$B$27)-$B$60))&lt;0,0,B21*($B$26-($B$27-0.05*$B$27)-$B$60))</f>
        <v>875.51089669647786</v>
      </c>
      <c r="C32" s="35" t="s">
        <v>104</v>
      </c>
      <c r="D32" s="174"/>
    </row>
    <row r="33" spans="1:6">
      <c r="A33" s="171" t="s">
        <v>73</v>
      </c>
      <c r="B33" s="34">
        <f>IF((B22*($B$26-($B$27-0.05*$B$27)-$B$60))&lt;0,0,B22*($B$26-($B$27-0.05*$B$27)-$B$60))</f>
        <v>5893.2151685350273</v>
      </c>
      <c r="C33" s="35" t="s">
        <v>104</v>
      </c>
      <c r="D33" s="174"/>
    </row>
    <row r="34" spans="1:6">
      <c r="A34" s="171" t="s">
        <v>74</v>
      </c>
      <c r="B34" s="34">
        <f>IF((B24*($B$26-($B$27-0.05*$B$27)-$B$60))&lt;0,0,B24*($B$26-($B$27-0.05*$B$27)-$B$60))</f>
        <v>1494.6435844608197</v>
      </c>
      <c r="C34" s="34">
        <f>B26*C24</f>
        <v>23995.689621705929</v>
      </c>
      <c r="D34" s="233"/>
    </row>
    <row r="35" spans="1:6">
      <c r="A35" s="171" t="s">
        <v>76</v>
      </c>
      <c r="B35" s="34">
        <f>IF((B19*($B$26-($B$27-0.05*$B$27)-$B$60))&lt;0,0,B19*($B$26-($B$27-0.05*$B$27)-$B$60))</f>
        <v>555.66118536219892</v>
      </c>
      <c r="C35" s="34">
        <f>B35/2</f>
        <v>277.83059268109946</v>
      </c>
      <c r="D35" s="233"/>
    </row>
    <row r="36" spans="1:6">
      <c r="A36" s="171" t="s">
        <v>77</v>
      </c>
      <c r="B36" s="34">
        <f>IF((B18*($B$26-($B$27-0.05*$B$27)-$B$60))&lt;0,0,B18*($B$26-($B$27-0.05*$B$27)-$B$60))</f>
        <v>26806.569164945471</v>
      </c>
      <c r="C36" s="35" t="s">
        <v>104</v>
      </c>
      <c r="D36" s="174"/>
    </row>
    <row r="37" spans="1:6">
      <c r="A37" s="171" t="s">
        <v>78</v>
      </c>
      <c r="B37" s="34">
        <f>B60</f>
        <v>76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563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76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715328.44060332223</v>
      </c>
      <c r="C5" s="18">
        <f>IF(ISERROR('Eigen informatie GS &amp; warmtenet'!B58),0,'Eigen informatie GS &amp; warmtenet'!B58)</f>
        <v>0</v>
      </c>
      <c r="D5" s="31">
        <f>SUM(D6:D12)</f>
        <v>876184.33536998334</v>
      </c>
      <c r="E5" s="18">
        <f>SUM(E6:E12)</f>
        <v>6333.8216680067007</v>
      </c>
      <c r="F5" s="18">
        <f>SUM(F6:F12)</f>
        <v>164390.25279821991</v>
      </c>
      <c r="G5" s="19"/>
      <c r="H5" s="18"/>
      <c r="I5" s="18"/>
      <c r="J5" s="18">
        <f>SUM(J6:J12)</f>
        <v>0</v>
      </c>
      <c r="K5" s="18"/>
      <c r="L5" s="18"/>
      <c r="M5" s="18"/>
      <c r="N5" s="18">
        <f>SUM(N6:N12)</f>
        <v>25297.672247373186</v>
      </c>
      <c r="O5" s="18">
        <f>B38*B39*B40</f>
        <v>21.88666666666667</v>
      </c>
      <c r="P5" s="18">
        <f>B46*B47*B48/1000-B46*B47*B48/1000/B49</f>
        <v>228.8</v>
      </c>
      <c r="R5" s="33"/>
    </row>
    <row r="6" spans="1:18">
      <c r="A6" s="33" t="s">
        <v>53</v>
      </c>
      <c r="B6" s="38">
        <f>B26</f>
        <v>208032.39447030198</v>
      </c>
      <c r="C6" s="34"/>
      <c r="D6" s="38">
        <f>IF(ISERROR(TER_kantoor_gas_kWh/1000),0,TER_kantoor_gas_kWh/1000)*0.902</f>
        <v>296322.48670603469</v>
      </c>
      <c r="E6" s="34">
        <f>$C$26*'E Balans VL '!I12/100/3.6*1000000</f>
        <v>339.82717213988764</v>
      </c>
      <c r="F6" s="34">
        <f>$C$26*('E Balans VL '!L12+'E Balans VL '!N12)/100/3.6*1000000</f>
        <v>24440.067921382742</v>
      </c>
      <c r="G6" s="35"/>
      <c r="H6" s="34"/>
      <c r="I6" s="34"/>
      <c r="J6" s="34">
        <f>$C$26*('E Balans VL '!D12+'E Balans VL '!E12)/100/3.6*1000000</f>
        <v>0</v>
      </c>
      <c r="K6" s="34"/>
      <c r="L6" s="34"/>
      <c r="M6" s="34"/>
      <c r="N6" s="34">
        <f>$C$26*'E Balans VL '!Y12/100/3.6*1000000</f>
        <v>1514.7419070668611</v>
      </c>
      <c r="O6" s="34"/>
      <c r="P6" s="34"/>
      <c r="R6" s="33"/>
    </row>
    <row r="7" spans="1:18">
      <c r="A7" s="33" t="s">
        <v>52</v>
      </c>
      <c r="B7" s="38">
        <f t="shared" ref="B7:B12" si="0">B27</f>
        <v>80417.387610832797</v>
      </c>
      <c r="C7" s="34"/>
      <c r="D7" s="38">
        <f>IF(ISERROR(TER_horeca_gas_kWh/1000),0,TER_horeca_gas_kWh/1000)*0.902</f>
        <v>152188.75728657798</v>
      </c>
      <c r="E7" s="34">
        <f>$C$27*'E Balans VL '!I9/100/3.6*1000000</f>
        <v>4160.5500745624895</v>
      </c>
      <c r="F7" s="34">
        <f>$C$27*('E Balans VL '!L9+'E Balans VL '!N9)/100/3.6*1000000</f>
        <v>18296.20308446831</v>
      </c>
      <c r="G7" s="35"/>
      <c r="H7" s="34"/>
      <c r="I7" s="34"/>
      <c r="J7" s="34">
        <f>$C$27*('E Balans VL '!D9+'E Balans VL '!E9)/100/3.6*1000000</f>
        <v>0</v>
      </c>
      <c r="K7" s="34"/>
      <c r="L7" s="34"/>
      <c r="M7" s="34"/>
      <c r="N7" s="34">
        <f>$C$27*'E Balans VL '!Y9/100/3.6*1000000</f>
        <v>8.4665453694730868</v>
      </c>
      <c r="O7" s="34"/>
      <c r="P7" s="34"/>
      <c r="R7" s="33"/>
    </row>
    <row r="8" spans="1:18">
      <c r="A8" s="6" t="s">
        <v>51</v>
      </c>
      <c r="B8" s="38">
        <f t="shared" si="0"/>
        <v>160766.614803865</v>
      </c>
      <c r="C8" s="34"/>
      <c r="D8" s="38">
        <f>IF(ISERROR(TER_handel_gas_kWh/1000),0,TER_handel_gas_kWh/1000)*0.902</f>
        <v>78352.633724721542</v>
      </c>
      <c r="E8" s="34">
        <f>$C$28*'E Balans VL '!I13/100/3.6*1000000</f>
        <v>844.46619443039947</v>
      </c>
      <c r="F8" s="34">
        <f>$C$28*('E Balans VL '!L13+'E Balans VL '!N13)/100/3.6*1000000</f>
        <v>30309.891025940637</v>
      </c>
      <c r="G8" s="35"/>
      <c r="H8" s="34"/>
      <c r="I8" s="34"/>
      <c r="J8" s="34">
        <f>$C$28*('E Balans VL '!D13+'E Balans VL '!E13)/100/3.6*1000000</f>
        <v>0</v>
      </c>
      <c r="K8" s="34"/>
      <c r="L8" s="34"/>
      <c r="M8" s="34"/>
      <c r="N8" s="34">
        <f>$C$28*'E Balans VL '!Y13/100/3.6*1000000</f>
        <v>797.0075797475015</v>
      </c>
      <c r="O8" s="34"/>
      <c r="P8" s="34"/>
      <c r="R8" s="33"/>
    </row>
    <row r="9" spans="1:18">
      <c r="A9" s="33" t="s">
        <v>50</v>
      </c>
      <c r="B9" s="38">
        <f t="shared" si="0"/>
        <v>88040.101594953216</v>
      </c>
      <c r="C9" s="34"/>
      <c r="D9" s="38">
        <f>IF(ISERROR(TER_gezond_gas_kWh/1000),0,TER_gezond_gas_kWh/1000)*0.902</f>
        <v>77925.453261805378</v>
      </c>
      <c r="E9" s="34">
        <f>$C$29*'E Balans VL '!I10/100/3.6*1000000</f>
        <v>78.157027161841015</v>
      </c>
      <c r="F9" s="34">
        <f>$C$29*('E Balans VL '!L10+'E Balans VL '!N10)/100/3.6*1000000</f>
        <v>27364.202271299058</v>
      </c>
      <c r="G9" s="35"/>
      <c r="H9" s="34"/>
      <c r="I9" s="34"/>
      <c r="J9" s="34">
        <f>$C$29*('E Balans VL '!D10+'E Balans VL '!E10)/100/3.6*1000000</f>
        <v>0</v>
      </c>
      <c r="K9" s="34"/>
      <c r="L9" s="34"/>
      <c r="M9" s="34"/>
      <c r="N9" s="34">
        <f>$C$29*'E Balans VL '!Y10/100/3.6*1000000</f>
        <v>679.58083166654683</v>
      </c>
      <c r="O9" s="34"/>
      <c r="P9" s="34"/>
      <c r="R9" s="33"/>
    </row>
    <row r="10" spans="1:18">
      <c r="A10" s="33" t="s">
        <v>49</v>
      </c>
      <c r="B10" s="38">
        <f t="shared" si="0"/>
        <v>38780.261348059401</v>
      </c>
      <c r="C10" s="34"/>
      <c r="D10" s="38">
        <f>IF(ISERROR(TER_ander_gas_kWh/1000),0,TER_ander_gas_kWh/1000)*0.902</f>
        <v>44401.90418855552</v>
      </c>
      <c r="E10" s="34">
        <f>$C$30*'E Balans VL '!I14/100/3.6*1000000</f>
        <v>316.30867684682886</v>
      </c>
      <c r="F10" s="34">
        <f>$C$30*('E Balans VL '!L14+'E Balans VL '!N14)/100/3.6*1000000</f>
        <v>11303.726183672916</v>
      </c>
      <c r="G10" s="35"/>
      <c r="H10" s="34"/>
      <c r="I10" s="34"/>
      <c r="J10" s="34">
        <f>$C$30*('E Balans VL '!D14+'E Balans VL '!E14)/100/3.6*1000000</f>
        <v>0</v>
      </c>
      <c r="K10" s="34"/>
      <c r="L10" s="34"/>
      <c r="M10" s="34"/>
      <c r="N10" s="34">
        <f>$C$30*'E Balans VL '!Y14/100/3.6*1000000</f>
        <v>18418.895454947695</v>
      </c>
      <c r="O10" s="34"/>
      <c r="P10" s="34"/>
      <c r="R10" s="33"/>
    </row>
    <row r="11" spans="1:18">
      <c r="A11" s="33" t="s">
        <v>54</v>
      </c>
      <c r="B11" s="38">
        <f t="shared" si="0"/>
        <v>77749.031778535093</v>
      </c>
      <c r="C11" s="34"/>
      <c r="D11" s="38">
        <f>IF(ISERROR(TER_onderwijs_gas_kWh/1000),0,TER_onderwijs_gas_kWh/1000)*0.902</f>
        <v>74503.472371418073</v>
      </c>
      <c r="E11" s="34">
        <f>$C$31*'E Balans VL '!I11/100/3.6*1000000</f>
        <v>64.863400895600506</v>
      </c>
      <c r="F11" s="34">
        <f>$C$31*('E Balans VL '!L11+'E Balans VL '!N11)/100/3.6*1000000</f>
        <v>40686.174477137538</v>
      </c>
      <c r="G11" s="35"/>
      <c r="H11" s="34"/>
      <c r="I11" s="34"/>
      <c r="J11" s="34">
        <f>$C$31*('E Balans VL '!D11+'E Balans VL '!E11)/100/3.6*1000000</f>
        <v>0</v>
      </c>
      <c r="K11" s="34"/>
      <c r="L11" s="34"/>
      <c r="M11" s="34"/>
      <c r="N11" s="34">
        <f>$C$31*'E Balans VL '!Y11/100/3.6*1000000</f>
        <v>342.31211350651199</v>
      </c>
      <c r="O11" s="34"/>
      <c r="P11" s="34"/>
      <c r="R11" s="33"/>
    </row>
    <row r="12" spans="1:18">
      <c r="A12" s="33" t="s">
        <v>249</v>
      </c>
      <c r="B12" s="38">
        <f t="shared" si="0"/>
        <v>61542.648996774704</v>
      </c>
      <c r="C12" s="34"/>
      <c r="D12" s="38">
        <f>IF(ISERROR(TER_rest_gas_kWh/1000),0,TER_rest_gas_kWh/1000)*0.902</f>
        <v>152489.62783087019</v>
      </c>
      <c r="E12" s="34">
        <f>$C$32*'E Balans VL '!I8/100/3.6*1000000</f>
        <v>529.64912196965292</v>
      </c>
      <c r="F12" s="34">
        <f>$C$32*('E Balans VL '!L8+'E Balans VL '!N8)/100/3.6*1000000</f>
        <v>11989.987834318728</v>
      </c>
      <c r="G12" s="35"/>
      <c r="H12" s="34"/>
      <c r="I12" s="34"/>
      <c r="J12" s="34">
        <f>$C$32*('E Balans VL '!D8+'E Balans VL '!E8)/100/3.6*1000000</f>
        <v>0</v>
      </c>
      <c r="K12" s="34"/>
      <c r="L12" s="34"/>
      <c r="M12" s="34"/>
      <c r="N12" s="34">
        <f>$C$32*'E Balans VL '!Y8/100/3.6*1000000</f>
        <v>3536.6678150685948</v>
      </c>
      <c r="O12" s="34"/>
      <c r="P12" s="34"/>
      <c r="R12" s="33"/>
    </row>
    <row r="13" spans="1:18">
      <c r="A13" s="17" t="s">
        <v>488</v>
      </c>
      <c r="B13" s="246">
        <f ca="1">'lokale energieproductie'!N43+'lokale energieproductie'!N36</f>
        <v>1982.25</v>
      </c>
      <c r="C13" s="246">
        <f ca="1">'lokale energieproductie'!O43+'lokale energieproductie'!O36</f>
        <v>176.78571428571433</v>
      </c>
      <c r="D13" s="305">
        <f ca="1">('lokale energieproductie'!P36+'lokale energieproductie'!P43)*(-1)</f>
        <v>-237.85714285714292</v>
      </c>
      <c r="E13" s="247"/>
      <c r="F13" s="305">
        <f ca="1">('lokale energieproductie'!S36+'lokale energieproductie'!S43)*(-1)</f>
        <v>0</v>
      </c>
      <c r="G13" s="248"/>
      <c r="H13" s="247"/>
      <c r="I13" s="247"/>
      <c r="J13" s="247"/>
      <c r="K13" s="247"/>
      <c r="L13" s="305">
        <f ca="1">('lokale energieproductie'!U36+'lokale energieproductie'!T36+'lokale energieproductie'!U43+'lokale energieproductie'!T43)*(-1)</f>
        <v>-115.71428571428572</v>
      </c>
      <c r="M13" s="247"/>
      <c r="N13" s="305">
        <f ca="1">('lokale energieproductie'!Q36+'lokale energieproductie'!R36+'lokale energieproductie'!V36+'lokale energieproductie'!Q43+'lokale energieproductie'!R43+'lokale energieproductie'!V43)*(-1)</f>
        <v>-5310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717310.69060332223</v>
      </c>
      <c r="C16" s="22">
        <f t="shared" ca="1" si="1"/>
        <v>176.78571428571433</v>
      </c>
      <c r="D16" s="22">
        <f t="shared" ca="1" si="1"/>
        <v>875946.47822712618</v>
      </c>
      <c r="E16" s="22">
        <f t="shared" si="1"/>
        <v>6333.8216680067007</v>
      </c>
      <c r="F16" s="22">
        <f t="shared" ca="1" si="1"/>
        <v>164390.25279821991</v>
      </c>
      <c r="G16" s="22">
        <f t="shared" si="1"/>
        <v>0</v>
      </c>
      <c r="H16" s="22">
        <f t="shared" si="1"/>
        <v>0</v>
      </c>
      <c r="I16" s="22">
        <f t="shared" si="1"/>
        <v>0</v>
      </c>
      <c r="J16" s="22">
        <f t="shared" si="1"/>
        <v>0</v>
      </c>
      <c r="K16" s="22">
        <f t="shared" si="1"/>
        <v>0</v>
      </c>
      <c r="L16" s="22">
        <f t="shared" ca="1" si="1"/>
        <v>0</v>
      </c>
      <c r="M16" s="22">
        <f t="shared" si="1"/>
        <v>0</v>
      </c>
      <c r="N16" s="22">
        <f t="shared" ca="1" si="1"/>
        <v>19987.672247373186</v>
      </c>
      <c r="O16" s="22">
        <f>O5</f>
        <v>21.88666666666667</v>
      </c>
      <c r="P16" s="22">
        <f>P5</f>
        <v>228.8</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0.20380857942377811</v>
      </c>
      <c r="C18" s="26">
        <f ca="1">'EF ele_warmte'!B22</f>
        <v>9.1004529180543636E-2</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146194.07285735232</v>
      </c>
      <c r="C20" s="24">
        <f t="shared" ref="C20:P20" ca="1" si="2">C16*C18</f>
        <v>16.088300694417541</v>
      </c>
      <c r="D20" s="24">
        <f t="shared" ca="1" si="2"/>
        <v>176941.18860187949</v>
      </c>
      <c r="E20" s="24">
        <f t="shared" si="2"/>
        <v>1437.7775186375211</v>
      </c>
      <c r="F20" s="24">
        <f t="shared" ca="1" si="2"/>
        <v>43892.197497124718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208032.39447030198</v>
      </c>
      <c r="C26" s="40">
        <f>IF(ISERROR(B26*3.6/1000000/'E Balans VL '!Z12*100),0,B26*3.6/1000000/'E Balans VL '!Z12*100)</f>
        <v>4.4092583239058261</v>
      </c>
      <c r="D26" s="236" t="s">
        <v>660</v>
      </c>
      <c r="F26" s="6"/>
    </row>
    <row r="27" spans="1:18">
      <c r="A27" s="231" t="s">
        <v>52</v>
      </c>
      <c r="B27" s="34">
        <f>IF(ISERROR(TER_horeca_ele_kWh/1000),0,TER_horeca_ele_kWh/1000)</f>
        <v>80417.387610832797</v>
      </c>
      <c r="C27" s="40">
        <f>IF(ISERROR(B27*3.6/1000000/'E Balans VL '!Z9*100),0,B27*3.6/1000000/'E Balans VL '!Z9*100)</f>
        <v>6.310468598365035</v>
      </c>
      <c r="D27" s="236" t="s">
        <v>660</v>
      </c>
      <c r="F27" s="6"/>
    </row>
    <row r="28" spans="1:18">
      <c r="A28" s="171" t="s">
        <v>51</v>
      </c>
      <c r="B28" s="34">
        <f>IF(ISERROR(TER_handel_ele_kWh/1000),0,TER_handel_ele_kWh/1000)</f>
        <v>160766.614803865</v>
      </c>
      <c r="C28" s="40">
        <f>IF(ISERROR(B28*3.6/1000000/'E Balans VL '!Z13*100),0,B28*3.6/1000000/'E Balans VL '!Z13*100)</f>
        <v>4.489640008305825</v>
      </c>
      <c r="D28" s="236" t="s">
        <v>660</v>
      </c>
      <c r="F28" s="6"/>
    </row>
    <row r="29" spans="1:18">
      <c r="A29" s="231" t="s">
        <v>50</v>
      </c>
      <c r="B29" s="34">
        <f>IF(ISERROR(TER_gezond_ele_kWh/1000),0,TER_gezond_ele_kWh/1000)</f>
        <v>88040.101594953216</v>
      </c>
      <c r="C29" s="40">
        <f>IF(ISERROR(B29*3.6/1000000/'E Balans VL '!Z10*100),0,B29*3.6/1000000/'E Balans VL '!Z10*100)</f>
        <v>10.089336439816618</v>
      </c>
      <c r="D29" s="236" t="s">
        <v>660</v>
      </c>
      <c r="F29" s="6"/>
    </row>
    <row r="30" spans="1:18">
      <c r="A30" s="231" t="s">
        <v>49</v>
      </c>
      <c r="B30" s="34">
        <f>IF(ISERROR(TER_ander_ele_kWh/1000),0,TER_ander_ele_kWh/1000)</f>
        <v>38780.261348059401</v>
      </c>
      <c r="C30" s="40">
        <f>IF(ISERROR(B30*3.6/1000000/'E Balans VL '!Z14*100),0,B30*3.6/1000000/'E Balans VL '!Z14*100)</f>
        <v>2.8917293936495958</v>
      </c>
      <c r="D30" s="236" t="s">
        <v>660</v>
      </c>
      <c r="F30" s="6"/>
    </row>
    <row r="31" spans="1:18">
      <c r="A31" s="231" t="s">
        <v>54</v>
      </c>
      <c r="B31" s="34">
        <f>IF(ISERROR(TER_onderwijs_ele_kWh/1000),0,TER_onderwijs_ele_kWh/1000)</f>
        <v>77749.031778535093</v>
      </c>
      <c r="C31" s="40">
        <f>IF(ISERROR(B31*3.6/1000000/'E Balans VL '!Z11*100),0,B31*3.6/1000000/'E Balans VL '!Z11*100)</f>
        <v>22.22084475861811</v>
      </c>
      <c r="D31" s="236" t="s">
        <v>660</v>
      </c>
    </row>
    <row r="32" spans="1:18">
      <c r="A32" s="231" t="s">
        <v>249</v>
      </c>
      <c r="B32" s="34">
        <f>IF(ISERROR(TER_rest_ele_kWh/1000),0,TER_rest_ele_kWh/1000)</f>
        <v>61542.648996774704</v>
      </c>
      <c r="C32" s="40">
        <f>IF(ISERROR(B32*3.6/1000000/'E Balans VL '!Z8*100),0,B32*3.6/1000000/'E Balans VL '!Z8*100)</f>
        <v>0.50707315117868212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14</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379692.08163220499</v>
      </c>
      <c r="C5" s="18">
        <f>IF(ISERROR('Eigen informatie GS &amp; warmtenet'!B59),0,'Eigen informatie GS &amp; warmtenet'!B59)</f>
        <v>0</v>
      </c>
      <c r="D5" s="31">
        <f>SUM(D6:D15)</f>
        <v>284696.1158572727</v>
      </c>
      <c r="E5" s="18">
        <f>SUM(E6:E15)</f>
        <v>4605.0427103565962</v>
      </c>
      <c r="F5" s="18">
        <f>SUM(F6:F15)</f>
        <v>99046.361809887618</v>
      </c>
      <c r="G5" s="19"/>
      <c r="H5" s="18"/>
      <c r="I5" s="18"/>
      <c r="J5" s="18">
        <f>SUM(J6:J15)</f>
        <v>1700.7963586394421</v>
      </c>
      <c r="K5" s="18"/>
      <c r="L5" s="18"/>
      <c r="M5" s="18"/>
      <c r="N5" s="18">
        <f>SUM(N6:N15)</f>
        <v>14347.969417705302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29211.522803481799</v>
      </c>
      <c r="C8" s="34"/>
      <c r="D8" s="38">
        <f>IF( ISERROR(IND_metaal_Gas_kWH/1000),0,IND_metaal_Gas_kWH/1000)*0.902</f>
        <v>37493.338800743746</v>
      </c>
      <c r="E8" s="34">
        <f>C30*'E Balans VL '!I18/100/3.6*1000000</f>
        <v>266.02407389400781</v>
      </c>
      <c r="F8" s="34">
        <f>C30*'E Balans VL '!L18/100/3.6*1000000+C30*'E Balans VL '!N18/100/3.6*1000000</f>
        <v>3852.7780216649253</v>
      </c>
      <c r="G8" s="35"/>
      <c r="H8" s="34"/>
      <c r="I8" s="34"/>
      <c r="J8" s="41">
        <f>C30*'E Balans VL '!D18/100/3.6*1000000+C30*'E Balans VL '!E18/100/3.6*1000000</f>
        <v>479.02656037325897</v>
      </c>
      <c r="K8" s="34"/>
      <c r="L8" s="34"/>
      <c r="M8" s="34"/>
      <c r="N8" s="34">
        <f>C30*'E Balans VL '!Y18/100/3.6*1000000</f>
        <v>100.38839962790041</v>
      </c>
      <c r="O8" s="34"/>
      <c r="P8" s="34"/>
      <c r="R8" s="33"/>
    </row>
    <row r="9" spans="1:18">
      <c r="A9" s="6" t="s">
        <v>32</v>
      </c>
      <c r="B9" s="38">
        <f t="shared" si="0"/>
        <v>50331.8369837809</v>
      </c>
      <c r="C9" s="34"/>
      <c r="D9" s="38">
        <f>IF( ISERROR(IND_andere_gas_kWh/1000),0,IND_andere_gas_kWh/1000)*0.902</f>
        <v>33208.630351595115</v>
      </c>
      <c r="E9" s="34">
        <f>C31*'E Balans VL '!I19/100/3.6*1000000</f>
        <v>290.92553923716758</v>
      </c>
      <c r="F9" s="34">
        <f>C31*'E Balans VL '!L19/100/3.6*1000000+C31*'E Balans VL '!N19/100/3.6*1000000</f>
        <v>40041.398192756358</v>
      </c>
      <c r="G9" s="35"/>
      <c r="H9" s="34"/>
      <c r="I9" s="34"/>
      <c r="J9" s="41">
        <f>C31*'E Balans VL '!D19/100/3.6*1000000+C31*'E Balans VL '!E19/100/3.6*1000000</f>
        <v>4.7608327084554487</v>
      </c>
      <c r="K9" s="34"/>
      <c r="L9" s="34"/>
      <c r="M9" s="34"/>
      <c r="N9" s="34">
        <f>C31*'E Balans VL '!Y19/100/3.6*1000000</f>
        <v>3813.3983386749601</v>
      </c>
      <c r="O9" s="34"/>
      <c r="P9" s="34"/>
      <c r="R9" s="33"/>
    </row>
    <row r="10" spans="1:18">
      <c r="A10" s="6" t="s">
        <v>40</v>
      </c>
      <c r="B10" s="38">
        <f t="shared" si="0"/>
        <v>31332.7732038832</v>
      </c>
      <c r="C10" s="34"/>
      <c r="D10" s="38">
        <f>IF( ISERROR(IND_voed_gas_kWh/1000),0,IND_voed_gas_kWh/1000)*0.902</f>
        <v>24870.54466166718</v>
      </c>
      <c r="E10" s="34">
        <f>C32*'E Balans VL '!I20/100/3.6*1000000</f>
        <v>308.08313186998265</v>
      </c>
      <c r="F10" s="34">
        <f>C32*'E Balans VL '!L20/100/3.6*1000000+C32*'E Balans VL '!N20/100/3.6*1000000</f>
        <v>3479.9134398376609</v>
      </c>
      <c r="G10" s="35"/>
      <c r="H10" s="34"/>
      <c r="I10" s="34"/>
      <c r="J10" s="41">
        <f>C32*'E Balans VL '!D20/100/3.6*1000000+C32*'E Balans VL '!E20/100/3.6*1000000</f>
        <v>0.12349668341963396</v>
      </c>
      <c r="K10" s="34"/>
      <c r="L10" s="34"/>
      <c r="M10" s="34"/>
      <c r="N10" s="34">
        <f>C32*'E Balans VL '!Y20/100/3.6*1000000</f>
        <v>463.96466869812673</v>
      </c>
      <c r="O10" s="34"/>
      <c r="P10" s="34"/>
      <c r="R10" s="33"/>
    </row>
    <row r="11" spans="1:18">
      <c r="A11" s="6" t="s">
        <v>39</v>
      </c>
      <c r="B11" s="38">
        <f t="shared" si="0"/>
        <v>376.231055267692</v>
      </c>
      <c r="C11" s="34"/>
      <c r="D11" s="38">
        <f>IF( ISERROR(IND_textiel_gas_kWh/1000),0,IND_textiel_gas_kWh/1000)*0.902</f>
        <v>507.51055010552182</v>
      </c>
      <c r="E11" s="34">
        <f>C33*'E Balans VL '!I21/100/3.6*1000000</f>
        <v>0.73260922803292072</v>
      </c>
      <c r="F11" s="34">
        <f>C33*'E Balans VL '!L21/100/3.6*1000000+C33*'E Balans VL '!N21/100/3.6*1000000</f>
        <v>12.409334806284123</v>
      </c>
      <c r="G11" s="35"/>
      <c r="H11" s="34"/>
      <c r="I11" s="34"/>
      <c r="J11" s="41">
        <f>C33*'E Balans VL '!D21/100/3.6*1000000+C33*'E Balans VL '!E21/100/3.6*1000000</f>
        <v>0</v>
      </c>
      <c r="K11" s="34"/>
      <c r="L11" s="34"/>
      <c r="M11" s="34"/>
      <c r="N11" s="34">
        <f>C33*'E Balans VL '!Y21/100/3.6*1000000</f>
        <v>3.9025055975047303</v>
      </c>
      <c r="O11" s="34"/>
      <c r="P11" s="34"/>
      <c r="R11" s="33"/>
    </row>
    <row r="12" spans="1:18">
      <c r="A12" s="6" t="s">
        <v>36</v>
      </c>
      <c r="B12" s="38">
        <f t="shared" si="0"/>
        <v>62835.648390747396</v>
      </c>
      <c r="C12" s="34"/>
      <c r="D12" s="38">
        <f>IF( ISERROR(IND_min_gas_kWh/1000),0,IND_min_gas_kWh/1000)*0.902</f>
        <v>480.67531401410713</v>
      </c>
      <c r="E12" s="34">
        <f>C34*'E Balans VL '!I22/100/3.6*1000000</f>
        <v>1592.9955024324731</v>
      </c>
      <c r="F12" s="34">
        <f>C34*'E Balans VL '!L22/100/3.6*1000000+C34*'E Balans VL '!N22/100/3.6*1000000</f>
        <v>17386.842929044869</v>
      </c>
      <c r="G12" s="35"/>
      <c r="H12" s="34"/>
      <c r="I12" s="34"/>
      <c r="J12" s="41">
        <f>C34*'E Balans VL '!D22/100/3.6*1000000+C34*'E Balans VL '!E22/100/3.6*1000000</f>
        <v>414.97924885434099</v>
      </c>
      <c r="K12" s="34"/>
      <c r="L12" s="34"/>
      <c r="M12" s="34"/>
      <c r="N12" s="34">
        <f>C34*'E Balans VL '!Y22/100/3.6*1000000</f>
        <v>0</v>
      </c>
      <c r="O12" s="34"/>
      <c r="P12" s="34"/>
      <c r="R12" s="33"/>
    </row>
    <row r="13" spans="1:18">
      <c r="A13" s="6" t="s">
        <v>38</v>
      </c>
      <c r="B13" s="38">
        <f t="shared" si="0"/>
        <v>13755.921090419899</v>
      </c>
      <c r="C13" s="34"/>
      <c r="D13" s="38">
        <f>IF( ISERROR(IND_papier_gas_kWh/1000),0,IND_papier_gas_kWh/1000)*0.902</f>
        <v>2759.9564026447979</v>
      </c>
      <c r="E13" s="34">
        <f>C35*'E Balans VL '!I23/100/3.6*1000000</f>
        <v>468.54661713580185</v>
      </c>
      <c r="F13" s="34">
        <f>C35*'E Balans VL '!L23/100/3.6*1000000+C35*'E Balans VL '!N23/100/3.6*1000000</f>
        <v>2272.1553196187874</v>
      </c>
      <c r="G13" s="35"/>
      <c r="H13" s="34"/>
      <c r="I13" s="34"/>
      <c r="J13" s="41">
        <f>C35*'E Balans VL '!D23/100/3.6*1000000+C35*'E Balans VL '!E23/100/3.6*1000000</f>
        <v>0</v>
      </c>
      <c r="K13" s="34"/>
      <c r="L13" s="34"/>
      <c r="M13" s="34"/>
      <c r="N13" s="34">
        <f>C35*'E Balans VL '!Y23/100/3.6*1000000</f>
        <v>5061.8100560684288</v>
      </c>
      <c r="O13" s="34"/>
      <c r="P13" s="34"/>
      <c r="R13" s="33"/>
    </row>
    <row r="14" spans="1:18">
      <c r="A14" s="6" t="s">
        <v>33</v>
      </c>
      <c r="B14" s="38">
        <f t="shared" si="0"/>
        <v>32384.470955121102</v>
      </c>
      <c r="C14" s="34"/>
      <c r="D14" s="38">
        <f>IF( ISERROR(IND_chemie_gas_kWh/1000),0,IND_chemie_gas_kWh/1000)*0.902</f>
        <v>7819.7191882283405</v>
      </c>
      <c r="E14" s="34">
        <f>C36*'E Balans VL '!I24/100/3.6*1000000</f>
        <v>244.84391661908117</v>
      </c>
      <c r="F14" s="34">
        <f>C36*'E Balans VL '!L24/100/3.6*1000000+C36*'E Balans VL '!N24/100/3.6*1000000</f>
        <v>599.20224970037668</v>
      </c>
      <c r="G14" s="35"/>
      <c r="H14" s="34"/>
      <c r="I14" s="34"/>
      <c r="J14" s="41">
        <f>C36*'E Balans VL '!D24/100/3.6*1000000+C36*'E Balans VL '!E24/100/3.6*1000000</f>
        <v>0</v>
      </c>
      <c r="K14" s="34"/>
      <c r="L14" s="34"/>
      <c r="M14" s="34"/>
      <c r="N14" s="34">
        <f>C36*'E Balans VL '!Y24/100/3.6*1000000</f>
        <v>9.3906615065329007</v>
      </c>
      <c r="O14" s="34"/>
      <c r="P14" s="34"/>
      <c r="R14" s="33"/>
    </row>
    <row r="15" spans="1:18">
      <c r="A15" s="6" t="s">
        <v>259</v>
      </c>
      <c r="B15" s="38">
        <f t="shared" si="0"/>
        <v>159463.677149503</v>
      </c>
      <c r="C15" s="34"/>
      <c r="D15" s="38">
        <f>IF( ISERROR(IND_rest_gas_kWh/1000),0,IND_rest_gas_kWh/1000)*0.902</f>
        <v>177555.74058827388</v>
      </c>
      <c r="E15" s="34">
        <f>C37*'E Balans VL '!I15/100/3.6*1000000</f>
        <v>1432.8913199400495</v>
      </c>
      <c r="F15" s="34">
        <f>C37*'E Balans VL '!L15/100/3.6*1000000+C37*'E Balans VL '!N15/100/3.6*1000000</f>
        <v>31401.662322458356</v>
      </c>
      <c r="G15" s="35"/>
      <c r="H15" s="34"/>
      <c r="I15" s="34"/>
      <c r="J15" s="41">
        <f>C37*'E Balans VL '!D15/100/3.6*1000000+C37*'E Balans VL '!E15/100/3.6*1000000</f>
        <v>801.90622001996701</v>
      </c>
      <c r="K15" s="34"/>
      <c r="L15" s="34"/>
      <c r="M15" s="34"/>
      <c r="N15" s="34">
        <f>C37*'E Balans VL '!Y15/100/3.6*1000000</f>
        <v>4895.1147875318475</v>
      </c>
      <c r="O15" s="34"/>
      <c r="P15" s="34"/>
      <c r="R15" s="33"/>
    </row>
    <row r="16" spans="1:18">
      <c r="A16" s="17" t="s">
        <v>488</v>
      </c>
      <c r="B16" s="246">
        <f>'lokale energieproductie'!N42+'lokale energieproductie'!N35</f>
        <v>9900</v>
      </c>
      <c r="C16" s="246">
        <f>'lokale energieproductie'!O42+'lokale energieproductie'!O35</f>
        <v>11137.5</v>
      </c>
      <c r="D16" s="305">
        <f>('lokale energieproductie'!P35+'lokale energieproductie'!P42)*(-1)</f>
        <v>0</v>
      </c>
      <c r="E16" s="247"/>
      <c r="F16" s="305">
        <f>('lokale energieproductie'!S35+'lokale energieproductie'!S42)*(-1)</f>
        <v>-6187.5</v>
      </c>
      <c r="G16" s="248"/>
      <c r="H16" s="247"/>
      <c r="I16" s="247"/>
      <c r="J16" s="247"/>
      <c r="K16" s="247"/>
      <c r="L16" s="305">
        <f>('lokale energieproductie'!T35+'lokale energieproductie'!U35+'lokale energieproductie'!T42+'lokale energieproductie'!U42)*(-1)</f>
        <v>-18562.5</v>
      </c>
      <c r="M16" s="247"/>
      <c r="N16" s="305">
        <f>('lokale energieproductie'!Q35+'lokale energieproductie'!R35+'lokale energieproductie'!V35+'lokale energieproductie'!Q42+'lokale energieproductie'!R42+'lokale energieproductie'!V42)*(-1)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389592.08163220499</v>
      </c>
      <c r="C18" s="22">
        <f>C5+C16</f>
        <v>11137.5</v>
      </c>
      <c r="D18" s="22">
        <f>MAX((D5+D16),0)</f>
        <v>284696.1158572727</v>
      </c>
      <c r="E18" s="22">
        <f>MAX((E5+E16),0)</f>
        <v>4605.0427103565962</v>
      </c>
      <c r="F18" s="22">
        <f>MAX((F5+F16),0)</f>
        <v>92858.861809887618</v>
      </c>
      <c r="G18" s="22"/>
      <c r="H18" s="22"/>
      <c r="I18" s="22"/>
      <c r="J18" s="22">
        <f>MAX((J5+J16),0)</f>
        <v>1700.7963586394421</v>
      </c>
      <c r="K18" s="22"/>
      <c r="L18" s="22">
        <f>MAX((L5+L16),0)</f>
        <v>0</v>
      </c>
      <c r="M18" s="22"/>
      <c r="N18" s="22">
        <f>MAX((N5+N16),0)</f>
        <v>14347.969417705302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0.20380857942377811</v>
      </c>
      <c r="C20" s="26">
        <f ca="1">'EF ele_warmte'!B22</f>
        <v>9.1004529180543636E-2</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79402.208712212305</v>
      </c>
      <c r="C22" s="24">
        <f ca="1">C18*C20</f>
        <v>1013.5629437483047</v>
      </c>
      <c r="D22" s="24">
        <f>D18*D20</f>
        <v>57508.615403169089</v>
      </c>
      <c r="E22" s="24">
        <f>E18*E20</f>
        <v>1045.3446952509473</v>
      </c>
      <c r="F22" s="24">
        <f>F18*F20</f>
        <v>24793.316103239995</v>
      </c>
      <c r="G22" s="24"/>
      <c r="H22" s="24"/>
      <c r="I22" s="24"/>
      <c r="J22" s="24">
        <f>J18*J20</f>
        <v>602.08191095836253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29211.522803481799</v>
      </c>
      <c r="C30" s="40">
        <f>IF(ISERROR(B30*3.6/1000000/'E Balans VL '!Z18*100),0,B30*3.6/1000000/'E Balans VL '!Z18*100)</f>
        <v>1.6254259082367055</v>
      </c>
      <c r="D30" s="236" t="s">
        <v>660</v>
      </c>
    </row>
    <row r="31" spans="1:18">
      <c r="A31" s="6" t="s">
        <v>32</v>
      </c>
      <c r="B31" s="38">
        <f>IF( ISERROR(IND_ander_ele_kWh/1000),0,IND_ander_ele_kWh/1000)</f>
        <v>50331.8369837809</v>
      </c>
      <c r="C31" s="40">
        <f>IF(ISERROR(B31*3.6/1000000/'E Balans VL '!Z19*100),0,B31*3.6/1000000/'E Balans VL '!Z19*100)</f>
        <v>2.3397949147357839</v>
      </c>
      <c r="D31" s="236" t="s">
        <v>660</v>
      </c>
    </row>
    <row r="32" spans="1:18">
      <c r="A32" s="171" t="s">
        <v>40</v>
      </c>
      <c r="B32" s="38">
        <f>IF( ISERROR(IND_voed_ele_kWh/1000),0,IND_voed_ele_kWh/1000)</f>
        <v>31332.7732038832</v>
      </c>
      <c r="C32" s="40">
        <f>IF(ISERROR(B32*3.6/1000000/'E Balans VL '!Z20*100),0,B32*3.6/1000000/'E Balans VL '!Z20*100)</f>
        <v>1.1075502535418833</v>
      </c>
      <c r="D32" s="236" t="s">
        <v>660</v>
      </c>
    </row>
    <row r="33" spans="1:5">
      <c r="A33" s="171" t="s">
        <v>39</v>
      </c>
      <c r="B33" s="38">
        <f>IF( ISERROR(IND_textiel_ele_kWh/1000),0,IND_textiel_ele_kWh/1000)</f>
        <v>376.231055267692</v>
      </c>
      <c r="C33" s="40">
        <f>IF(ISERROR(B33*3.6/1000000/'E Balans VL '!Z21*100),0,B33*3.6/1000000/'E Balans VL '!Z21*100)</f>
        <v>5.0815712920089087E-2</v>
      </c>
      <c r="D33" s="236" t="s">
        <v>660</v>
      </c>
    </row>
    <row r="34" spans="1:5">
      <c r="A34" s="171" t="s">
        <v>36</v>
      </c>
      <c r="B34" s="38">
        <f>IF( ISERROR(IND_min_ele_kWh/1000),0,IND_min_ele_kWh/1000)</f>
        <v>62835.648390747396</v>
      </c>
      <c r="C34" s="40">
        <f>IF(ISERROR(B34*3.6/1000000/'E Balans VL '!Z22*100),0,B34*3.6/1000000/'E Balans VL '!Z22*100)</f>
        <v>12.628193421117839</v>
      </c>
      <c r="D34" s="236" t="s">
        <v>660</v>
      </c>
    </row>
    <row r="35" spans="1:5">
      <c r="A35" s="171" t="s">
        <v>38</v>
      </c>
      <c r="B35" s="38">
        <f>IF( ISERROR(IND_papier_ele_kWh/1000),0,IND_papier_ele_kWh/1000)</f>
        <v>13755.921090419899</v>
      </c>
      <c r="C35" s="40">
        <f>IF(ISERROR(B35*3.6/1000000/'E Balans VL '!Z22*100),0,B35*3.6/1000000/'E Balans VL '!Z22*100)</f>
        <v>2.7645522353046332</v>
      </c>
      <c r="D35" s="236" t="s">
        <v>660</v>
      </c>
    </row>
    <row r="36" spans="1:5">
      <c r="A36" s="171" t="s">
        <v>33</v>
      </c>
      <c r="B36" s="38">
        <f>IF( ISERROR(IND_chemie_ele_kWh/1000),0,IND_chemie_ele_kWh/1000)</f>
        <v>32384.470955121102</v>
      </c>
      <c r="C36" s="40">
        <f>IF(ISERROR(B36*3.6/1000000/'E Balans VL '!Z24*100),0,B36*3.6/1000000/'E Balans VL '!Z24*100)</f>
        <v>0.79747484615222686</v>
      </c>
      <c r="D36" s="236" t="s">
        <v>660</v>
      </c>
    </row>
    <row r="37" spans="1:5">
      <c r="A37" s="171" t="s">
        <v>259</v>
      </c>
      <c r="B37" s="38">
        <f>IF( ISERROR(IND_rest_ele_kWh/1000),0,IND_rest_ele_kWh/1000)</f>
        <v>159463.677149503</v>
      </c>
      <c r="C37" s="40">
        <f>IF(ISERROR(B37*3.6/1000000/'E Balans VL '!Z15*100),0,B37*3.6/1000000/'E Balans VL '!Z15*100)</f>
        <v>1.2041863259506203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3010.8796630802976</v>
      </c>
      <c r="C5" s="18">
        <f>'Eigen informatie GS &amp; warmtenet'!B60</f>
        <v>0</v>
      </c>
      <c r="D5" s="31">
        <f>IF(ISERROR(SUM(LB_lb_gas_kWh,LB_rest_gas_kWh)/1000),0,SUM(LB_lb_gas_kWh,LB_rest_gas_kWh)/1000)*0.902</f>
        <v>5271.2615694568312</v>
      </c>
      <c r="E5" s="18">
        <f>B17*'E Balans VL '!I25/3.6*1000000/100</f>
        <v>29.732984678326947</v>
      </c>
      <c r="F5" s="18">
        <f>B17*('E Balans VL '!L25/3.6*1000000+'E Balans VL '!N25/3.6*1000000)/100</f>
        <v>10045.091228679803</v>
      </c>
      <c r="G5" s="19"/>
      <c r="H5" s="18"/>
      <c r="I5" s="18"/>
      <c r="J5" s="18">
        <f>('E Balans VL '!D25+'E Balans VL '!E25)/3.6*1000000*landbouw!B17/100</f>
        <v>300.39440369364667</v>
      </c>
      <c r="K5" s="18"/>
      <c r="L5" s="18">
        <f>L6*(-1)</f>
        <v>0</v>
      </c>
      <c r="M5" s="18"/>
      <c r="N5" s="18">
        <f>N6*(-1)</f>
        <v>0</v>
      </c>
      <c r="O5" s="18"/>
      <c r="P5" s="18"/>
      <c r="R5" s="33"/>
    </row>
    <row r="6" spans="1:18">
      <c r="A6" s="17" t="s">
        <v>488</v>
      </c>
      <c r="B6" s="18" t="s">
        <v>204</v>
      </c>
      <c r="C6" s="18">
        <f>'lokale energieproductie'!O44+'lokale energieproductie'!O37</f>
        <v>977.78571428571433</v>
      </c>
      <c r="D6" s="305">
        <f>('lokale energieproductie'!P37+'lokale energieproductie'!P44)*(-1)</f>
        <v>-1940.5714285714289</v>
      </c>
      <c r="E6" s="247"/>
      <c r="F6" s="305">
        <f>('lokale energieproductie'!S37+'lokale energieproductie'!S44)*(-1)</f>
        <v>0</v>
      </c>
      <c r="G6" s="248"/>
      <c r="H6" s="247"/>
      <c r="I6" s="247"/>
      <c r="J6" s="247"/>
      <c r="K6" s="247"/>
      <c r="L6" s="305">
        <f>('lokale energieproductie'!T37+'lokale energieproductie'!U37+'lokale energieproductie'!T44+'lokale energieproductie'!U44)*(-1)</f>
        <v>0</v>
      </c>
      <c r="M6" s="247"/>
      <c r="N6" s="305">
        <f>('lokale energieproductie'!V37+'lokale energieproductie'!R37+'lokale energieproductie'!Q37+'lokale energieproductie'!Q44+'lokale energieproductie'!R44+'lokale energieproductie'!V44)*(-1)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3010.8796630802976</v>
      </c>
      <c r="C8" s="22">
        <f>C5+C6</f>
        <v>977.78571428571433</v>
      </c>
      <c r="D8" s="22">
        <f>MAX((D5+D6),0)</f>
        <v>3330.6901408854023</v>
      </c>
      <c r="E8" s="22">
        <f>MAX((E5+E6),0)</f>
        <v>29.732984678326947</v>
      </c>
      <c r="F8" s="22">
        <f>MAX((F5+F6),0)</f>
        <v>10045.091228679803</v>
      </c>
      <c r="G8" s="22"/>
      <c r="H8" s="22"/>
      <c r="I8" s="22"/>
      <c r="J8" s="22">
        <f>MAX((J5+J6),0)</f>
        <v>300.39440369364667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0.20380857942377811</v>
      </c>
      <c r="C10" s="32">
        <f ca="1">'EF ele_warmte'!B22</f>
        <v>9.1004529180543636E-2</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613.6431069483391</v>
      </c>
      <c r="C12" s="24">
        <f ca="1">C8*C10</f>
        <v>88.982928568032989</v>
      </c>
      <c r="D12" s="24">
        <f>D8*D10</f>
        <v>672.7994084588513</v>
      </c>
      <c r="E12" s="24">
        <f>E8*E10</f>
        <v>6.7493875219802169</v>
      </c>
      <c r="F12" s="24">
        <f>F8*F10</f>
        <v>2682.0393580575073</v>
      </c>
      <c r="G12" s="24"/>
      <c r="H12" s="24"/>
      <c r="I12" s="24"/>
      <c r="J12" s="24">
        <f>J8*J10</f>
        <v>106.33961890755091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0.40762499406206121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381.58898516989183</v>
      </c>
      <c r="C26" s="246">
        <f>B26*'GWP N2O_CH4'!B5</f>
        <v>8013.368688567728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82.500468819540231</v>
      </c>
      <c r="C27" s="246">
        <f>B27*'GWP N2O_CH4'!B5</f>
        <v>1732.5098452103448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5.5062971728291252</v>
      </c>
      <c r="C28" s="246">
        <f>B28*'GWP N2O_CH4'!B4</f>
        <v>1706.9521235770287</v>
      </c>
      <c r="D28" s="51"/>
    </row>
    <row r="29" spans="1:4">
      <c r="A29" s="42" t="s">
        <v>266</v>
      </c>
      <c r="B29" s="246">
        <f>B34*'ha_N2O bodem landbouw'!B4</f>
        <v>17.731898006061602</v>
      </c>
      <c r="C29" s="246">
        <f>B29*'GWP N2O_CH4'!B4</f>
        <v>5496.8883818790964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4.7870542567558516E-3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2.9185539965134017E-4</v>
      </c>
      <c r="C5" s="433" t="s">
        <v>204</v>
      </c>
      <c r="D5" s="418">
        <f>SUM(D6:D11)</f>
        <v>3.537802976718501E-4</v>
      </c>
      <c r="E5" s="418">
        <f>SUM(E6:E11)</f>
        <v>2.4897703764893381E-2</v>
      </c>
      <c r="F5" s="431" t="s">
        <v>204</v>
      </c>
      <c r="G5" s="418">
        <f>SUM(G6:G11)</f>
        <v>6.3082463438962542</v>
      </c>
      <c r="H5" s="418">
        <f>SUM(H6:H11)</f>
        <v>0.9215047064869637</v>
      </c>
      <c r="I5" s="433" t="s">
        <v>204</v>
      </c>
      <c r="J5" s="433" t="s">
        <v>204</v>
      </c>
      <c r="K5" s="433" t="s">
        <v>204</v>
      </c>
      <c r="L5" s="433" t="s">
        <v>204</v>
      </c>
      <c r="M5" s="418">
        <f>SUM(M6:M11)</f>
        <v>0.322899366281374</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8.4457266880067709E-5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9.7955065021749439E-5</v>
      </c>
      <c r="E6" s="421">
        <f>vkm_GW_PW*SUMIFS(TableVerdeelsleutelVkm[LPG],TableVerdeelsleutelVkm[Voertuigtype],"Lichte voertuigen")*SUMIFS(TableECFTransport[EnergieConsumptieFactor (PJ per km)],TableECFTransport[Index],CONCATENATE($A6,"_LPG_LPG"))</f>
        <v>6.3402713669721061E-3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0.99968164985135366</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0.25278279729036723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5.6060392378963327E-2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5.125745062428736E-6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0.84790549630464873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2.6424947317335503E-5</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3.772919679108621E-2</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5.4515603018106764E-5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1.0304912685786984E-4</v>
      </c>
      <c r="E8" s="421">
        <f>vkm_NGW_PW*SUMIFS(TableVerdeelsleutelVkm[LPG],TableVerdeelsleutelVkm[Voertuigtype],"Lichte voertuigen")*SUMIFS(TableECFTransport[EnergieConsumptieFactor (PJ per km)],TableECFTransport[Index],CONCATENATE($A8,"_LPG_LPG"))</f>
        <v>6.3036345668352652E-3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0.9397783248339231</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0.25310406448170231</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5.3409679528031606E-2</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1.6846812695331086E-6</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0.35736599134152441</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1.0483138454529972E-5</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1.5901661759814081E-2</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1.3717056195503431E-4</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1.5277610579223083E-4</v>
      </c>
      <c r="E10" s="421">
        <f>vkm_SW_PW*SUMIFS(TableVerdeelsleutelVkm[LPG],TableVerdeelsleutelVkm[Voertuigtype],"Lichte voertuigen")*SUMIFS(TableECFTransport[EnergieConsumptieFactor (PJ per km)],TableECFTransport[Index],CONCATENATE($A10,"_LPG_LPG"))</f>
        <v>1.2253797831086009E-2</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1.7841993923079773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0.41553370283995572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9.8422927907630214E-2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8.9015414661695172E-6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1.3793154892568273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4.723378916649625E-5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6.1375507915848566E-2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81.070944347594491</v>
      </c>
      <c r="C14" s="22"/>
      <c r="D14" s="22">
        <f t="shared" ref="D14:M14" si="0">((D5)*10^9/3600)+D12</f>
        <v>98.272304908847261</v>
      </c>
      <c r="E14" s="22">
        <f t="shared" si="0"/>
        <v>6916.0288235814951</v>
      </c>
      <c r="F14" s="22"/>
      <c r="G14" s="22">
        <f t="shared" si="0"/>
        <v>1752290.6510822929</v>
      </c>
      <c r="H14" s="22">
        <f t="shared" si="0"/>
        <v>255973.52957971217</v>
      </c>
      <c r="I14" s="22"/>
      <c r="J14" s="22"/>
      <c r="K14" s="22"/>
      <c r="L14" s="22"/>
      <c r="M14" s="22">
        <f t="shared" si="0"/>
        <v>89694.268411492769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0.20380857942377811</v>
      </c>
      <c r="C16" s="57">
        <f ca="1">'EF ele_warmte'!B22</f>
        <v>9.1004529180543636E-2</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16.522954000027408</v>
      </c>
      <c r="C18" s="24"/>
      <c r="D18" s="24">
        <f t="shared" ref="D18:M18" si="1">D14*D16</f>
        <v>19.851005591587146</v>
      </c>
      <c r="E18" s="24">
        <f t="shared" si="1"/>
        <v>1569.9385429529993</v>
      </c>
      <c r="F18" s="24"/>
      <c r="G18" s="24">
        <f t="shared" si="1"/>
        <v>467861.60383897222</v>
      </c>
      <c r="H18" s="24">
        <f t="shared" si="1"/>
        <v>63737.408865348327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3.1774389501059715E-2</v>
      </c>
      <c r="C50" s="316">
        <f t="shared" ref="C50:P50" si="2">SUM(C51:C52)</f>
        <v>0</v>
      </c>
      <c r="D50" s="316">
        <f t="shared" si="2"/>
        <v>0</v>
      </c>
      <c r="E50" s="316">
        <f t="shared" si="2"/>
        <v>0</v>
      </c>
      <c r="F50" s="316">
        <f t="shared" si="2"/>
        <v>0</v>
      </c>
      <c r="G50" s="316">
        <f t="shared" si="2"/>
        <v>0.14011002395295818</v>
      </c>
      <c r="H50" s="316">
        <f t="shared" si="2"/>
        <v>0</v>
      </c>
      <c r="I50" s="316">
        <f t="shared" si="2"/>
        <v>0</v>
      </c>
      <c r="J50" s="316">
        <f t="shared" si="2"/>
        <v>0</v>
      </c>
      <c r="K50" s="316">
        <f t="shared" si="2"/>
        <v>0</v>
      </c>
      <c r="L50" s="316">
        <f t="shared" si="2"/>
        <v>0</v>
      </c>
      <c r="M50" s="316">
        <f t="shared" si="2"/>
        <v>6.1927138355309464E-3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7.0247498168396732E-4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0.14011002395295818</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6.1927138355309464E-3</v>
      </c>
      <c r="N51" s="318"/>
      <c r="O51" s="318"/>
      <c r="P51" s="321"/>
    </row>
    <row r="52" spans="1:18">
      <c r="A52" s="4" t="s">
        <v>318</v>
      </c>
      <c r="B52" s="322">
        <f>vkm_tram*SUMIFS(TableECFTransport[EnergieConsumptieFactor (PJ per km)],TableECFTransport[Index],"Tram_gemiddeld_Electric_Electric")</f>
        <v>3.107191451937575E-2</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8826.2193058499215</v>
      </c>
      <c r="C54" s="22">
        <f t="shared" ref="C54:P54" si="3">(C50)*10^9/3600</f>
        <v>0</v>
      </c>
      <c r="D54" s="22">
        <f t="shared" si="3"/>
        <v>0</v>
      </c>
      <c r="E54" s="22">
        <f t="shared" si="3"/>
        <v>0</v>
      </c>
      <c r="F54" s="22">
        <f t="shared" si="3"/>
        <v>0</v>
      </c>
      <c r="G54" s="22">
        <f t="shared" si="3"/>
        <v>38919.451098043945</v>
      </c>
      <c r="H54" s="22">
        <f t="shared" si="3"/>
        <v>0</v>
      </c>
      <c r="I54" s="22">
        <f t="shared" si="3"/>
        <v>0</v>
      </c>
      <c r="J54" s="22">
        <f t="shared" si="3"/>
        <v>0</v>
      </c>
      <c r="K54" s="22">
        <f t="shared" si="3"/>
        <v>0</v>
      </c>
      <c r="L54" s="22">
        <f t="shared" si="3"/>
        <v>0</v>
      </c>
      <c r="M54" s="22">
        <f t="shared" si="3"/>
        <v>1720.1982876474849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0.20380857942377811</v>
      </c>
      <c r="C56" s="57">
        <f ca="1">'EF ele_warmte'!B22</f>
        <v>9.1004529180543636E-2</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1798.8592184079976</v>
      </c>
      <c r="C58" s="24">
        <f t="shared" ref="C58:P58" ca="1" si="4">C54*C56</f>
        <v>0</v>
      </c>
      <c r="D58" s="24">
        <f t="shared" si="4"/>
        <v>0</v>
      </c>
      <c r="E58" s="24">
        <f t="shared" si="4"/>
        <v>0</v>
      </c>
      <c r="F58" s="24">
        <f t="shared" si="4"/>
        <v>0</v>
      </c>
      <c r="G58" s="24">
        <f t="shared" si="4"/>
        <v>10391.493443177735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6"/>
  <sheetViews>
    <sheetView showGridLines="0" topLeftCell="F1" zoomScale="65" zoomScaleNormal="65" workbookViewId="0">
      <selection activeCell="A28" sqref="A28:XFD34"/>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69777.959571853862</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42909.47662500669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N34</f>
        <v>10696.95</v>
      </c>
      <c r="C8" s="544">
        <f>B53</f>
        <v>1013.6378174923871</v>
      </c>
      <c r="D8" s="931"/>
      <c r="E8" s="931">
        <f>E53</f>
        <v>2879.0863643608768</v>
      </c>
      <c r="F8" s="932"/>
      <c r="G8" s="545"/>
      <c r="H8" s="931">
        <f>I53</f>
        <v>0</v>
      </c>
      <c r="I8" s="931">
        <f>G53+F53</f>
        <v>8691.1017471693795</v>
      </c>
      <c r="J8" s="931">
        <f>H53+D53+C53</f>
        <v>0</v>
      </c>
      <c r="K8" s="931"/>
      <c r="L8" s="931"/>
      <c r="M8" s="931"/>
      <c r="N8" s="546"/>
      <c r="O8" s="547">
        <f>C8*$C$12+D8*$D$12+E8*$E$12+F8*$F$12+G8*$G$12+H8*$H$12+I8*$I$12+J8*$J$12</f>
        <v>973.47089841781644</v>
      </c>
      <c r="P8" s="1206"/>
      <c r="Q8" s="1207"/>
      <c r="S8" s="968"/>
      <c r="T8" s="1227"/>
      <c r="U8" s="1227"/>
    </row>
    <row r="9" spans="1:21" s="532" customFormat="1" ht="17.45" customHeight="1" thickBot="1">
      <c r="A9" s="548" t="s">
        <v>237</v>
      </c>
      <c r="B9" s="933">
        <f>N41+'Eigen informatie GS &amp; warmtenet'!B12</f>
        <v>1858.5</v>
      </c>
      <c r="C9" s="549">
        <f>P41+IF(ISERROR(('Eigen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S41+IF(ISERROR('Eigen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W41+IF(ISERROR('Eigen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(T41+U41)+IF(ISERROR('Eigen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V41+Q41+R41+IF(ISERROR('Eigen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5310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125242.88619686055</v>
      </c>
      <c r="C10" s="556">
        <f t="shared" ref="C10:L10" si="0">SUM(C8:C9)</f>
        <v>1013.6378174923871</v>
      </c>
      <c r="D10" s="556">
        <f t="shared" si="0"/>
        <v>0</v>
      </c>
      <c r="E10" s="556">
        <f t="shared" si="0"/>
        <v>2879.0863643608768</v>
      </c>
      <c r="F10" s="556">
        <f t="shared" si="0"/>
        <v>0</v>
      </c>
      <c r="G10" s="556">
        <f t="shared" si="0"/>
        <v>0</v>
      </c>
      <c r="H10" s="556">
        <f t="shared" si="0"/>
        <v>0</v>
      </c>
      <c r="I10" s="556">
        <f t="shared" si="0"/>
        <v>8691.1017471693795</v>
      </c>
      <c r="J10" s="556">
        <f t="shared" si="0"/>
        <v>5310</v>
      </c>
      <c r="K10" s="556">
        <f t="shared" si="0"/>
        <v>0</v>
      </c>
      <c r="L10" s="556">
        <f t="shared" si="0"/>
        <v>0</v>
      </c>
      <c r="M10" s="935"/>
      <c r="N10" s="935"/>
      <c r="O10" s="557">
        <f>SUM(O4:O9)</f>
        <v>973.47089841781644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O34</f>
        <v>12292.071428571428</v>
      </c>
      <c r="C17" s="568">
        <f>B54</f>
        <v>1164.7907539361845</v>
      </c>
      <c r="D17" s="569"/>
      <c r="E17" s="569">
        <f>E54</f>
        <v>3308.4136356391227</v>
      </c>
      <c r="F17" s="570"/>
      <c r="G17" s="571"/>
      <c r="H17" s="568">
        <f>I54</f>
        <v>0</v>
      </c>
      <c r="I17" s="569">
        <f>G54+F54</f>
        <v>9987.112538544905</v>
      </c>
      <c r="J17" s="569">
        <f>H54+D54+C54</f>
        <v>0</v>
      </c>
      <c r="K17" s="569"/>
      <c r="L17" s="569"/>
      <c r="M17" s="569"/>
      <c r="N17" s="938"/>
      <c r="O17" s="572">
        <f>C17*$C$22+E17*$E$22+H17*$H$22+I17*$I$22+J17*$J$22+D17*$D$22+F17*$F$22+G17*$G$22+K17*$K$22+L17*$L$22</f>
        <v>1118.6341730107551</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12292.071428571428</v>
      </c>
      <c r="C20" s="555">
        <f>SUM(C17:C19)</f>
        <v>1164.7907539361845</v>
      </c>
      <c r="D20" s="555">
        <f t="shared" ref="D20:L20" si="1">SUM(D17:D19)</f>
        <v>0</v>
      </c>
      <c r="E20" s="555">
        <f t="shared" si="1"/>
        <v>3308.4136356391227</v>
      </c>
      <c r="F20" s="555">
        <f t="shared" si="1"/>
        <v>0</v>
      </c>
      <c r="G20" s="555">
        <f t="shared" si="1"/>
        <v>0</v>
      </c>
      <c r="H20" s="555">
        <f t="shared" si="1"/>
        <v>0</v>
      </c>
      <c r="I20" s="555">
        <f t="shared" si="1"/>
        <v>9987.112538544905</v>
      </c>
      <c r="J20" s="555">
        <f t="shared" si="1"/>
        <v>0</v>
      </c>
      <c r="K20" s="555">
        <f t="shared" si="1"/>
        <v>0</v>
      </c>
      <c r="L20" s="555">
        <f t="shared" si="1"/>
        <v>0</v>
      </c>
      <c r="M20" s="555"/>
      <c r="N20" s="555"/>
      <c r="O20" s="576">
        <f>SUM(O17:O19)</f>
        <v>1118.6341730107551</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38.25" hidden="1">
      <c r="A28" s="580"/>
      <c r="B28" s="740">
        <v>44021</v>
      </c>
      <c r="C28" s="740">
        <v>9000</v>
      </c>
      <c r="D28" s="628"/>
      <c r="E28" s="627"/>
      <c r="F28" s="627"/>
      <c r="G28" s="627" t="s">
        <v>942</v>
      </c>
      <c r="H28" s="627" t="s">
        <v>943</v>
      </c>
      <c r="I28" s="627"/>
      <c r="J28" s="739"/>
      <c r="K28" s="739"/>
      <c r="L28" s="627" t="s">
        <v>944</v>
      </c>
      <c r="M28" s="627">
        <v>2200</v>
      </c>
      <c r="N28" s="627">
        <v>9900</v>
      </c>
      <c r="O28" s="627">
        <v>11137.5</v>
      </c>
      <c r="P28" s="627">
        <v>0</v>
      </c>
      <c r="Q28" s="627">
        <v>0</v>
      </c>
      <c r="R28" s="627">
        <v>0</v>
      </c>
      <c r="S28" s="627">
        <v>6187.5</v>
      </c>
      <c r="T28" s="627">
        <v>18562.5</v>
      </c>
      <c r="U28" s="627">
        <v>0</v>
      </c>
      <c r="V28" s="627">
        <v>0</v>
      </c>
      <c r="W28" s="627"/>
      <c r="X28" s="627"/>
      <c r="Y28" s="627">
        <v>300</v>
      </c>
      <c r="Z28" s="627" t="s">
        <v>33</v>
      </c>
      <c r="AA28" s="629" t="s">
        <v>378</v>
      </c>
    </row>
    <row r="29" spans="1:27" s="581" customFormat="1" ht="63.75" hidden="1">
      <c r="A29" s="580"/>
      <c r="B29" s="740">
        <v>44021</v>
      </c>
      <c r="C29" s="740">
        <v>9031</v>
      </c>
      <c r="D29" s="628"/>
      <c r="E29" s="627"/>
      <c r="F29" s="627"/>
      <c r="G29" s="627" t="s">
        <v>942</v>
      </c>
      <c r="H29" s="627" t="s">
        <v>945</v>
      </c>
      <c r="I29" s="627"/>
      <c r="J29" s="739"/>
      <c r="K29" s="739"/>
      <c r="L29" s="627" t="s">
        <v>944</v>
      </c>
      <c r="M29" s="627">
        <v>9</v>
      </c>
      <c r="N29" s="627">
        <v>40.5</v>
      </c>
      <c r="O29" s="627">
        <v>57.857142857142861</v>
      </c>
      <c r="P29" s="627">
        <v>0</v>
      </c>
      <c r="Q29" s="627">
        <v>0</v>
      </c>
      <c r="R29" s="627">
        <v>0</v>
      </c>
      <c r="S29" s="627">
        <v>0</v>
      </c>
      <c r="T29" s="627">
        <v>0</v>
      </c>
      <c r="U29" s="627">
        <v>115.71428571428572</v>
      </c>
      <c r="V29" s="627">
        <v>0</v>
      </c>
      <c r="W29" s="627"/>
      <c r="X29" s="627"/>
      <c r="Y29" s="627">
        <v>1600</v>
      </c>
      <c r="Z29" s="627" t="s">
        <v>49</v>
      </c>
      <c r="AA29" s="629" t="s">
        <v>149</v>
      </c>
    </row>
    <row r="30" spans="1:27" s="581" customFormat="1" ht="25.5" hidden="1">
      <c r="A30" s="580"/>
      <c r="B30" s="740">
        <v>44021</v>
      </c>
      <c r="C30" s="740">
        <v>9000</v>
      </c>
      <c r="D30" s="628"/>
      <c r="E30" s="627"/>
      <c r="F30" s="627"/>
      <c r="G30" s="627" t="s">
        <v>942</v>
      </c>
      <c r="H30" s="627" t="s">
        <v>945</v>
      </c>
      <c r="I30" s="627"/>
      <c r="J30" s="739"/>
      <c r="K30" s="739"/>
      <c r="L30" s="627" t="s">
        <v>944</v>
      </c>
      <c r="M30" s="627">
        <v>5</v>
      </c>
      <c r="N30" s="627">
        <v>4.5</v>
      </c>
      <c r="O30" s="627">
        <v>6.4285714285714288</v>
      </c>
      <c r="P30" s="627">
        <v>12.857142857142858</v>
      </c>
      <c r="Q30" s="627">
        <v>0</v>
      </c>
      <c r="R30" s="627">
        <v>0</v>
      </c>
      <c r="S30" s="627">
        <v>0</v>
      </c>
      <c r="T30" s="627">
        <v>0</v>
      </c>
      <c r="U30" s="627">
        <v>0</v>
      </c>
      <c r="V30" s="627">
        <v>0</v>
      </c>
      <c r="W30" s="627"/>
      <c r="X30" s="627"/>
      <c r="Y30" s="627">
        <v>1300</v>
      </c>
      <c r="Z30" s="627" t="s">
        <v>53</v>
      </c>
      <c r="AA30" s="629" t="s">
        <v>149</v>
      </c>
    </row>
    <row r="31" spans="1:27" s="581" customFormat="1" ht="12.75" hidden="1">
      <c r="A31" s="580"/>
      <c r="B31" s="740">
        <v>44021</v>
      </c>
      <c r="C31" s="740">
        <v>9052</v>
      </c>
      <c r="D31" s="628"/>
      <c r="E31" s="627"/>
      <c r="F31" s="627"/>
      <c r="G31" s="627" t="s">
        <v>946</v>
      </c>
      <c r="H31" s="627" t="s">
        <v>946</v>
      </c>
      <c r="I31" s="627"/>
      <c r="J31" s="739"/>
      <c r="K31" s="739"/>
      <c r="L31" s="627" t="s">
        <v>944</v>
      </c>
      <c r="M31" s="627">
        <v>1</v>
      </c>
      <c r="N31" s="627">
        <v>4.5</v>
      </c>
      <c r="O31" s="627">
        <v>22.5</v>
      </c>
      <c r="P31" s="627">
        <v>30</v>
      </c>
      <c r="Q31" s="627">
        <v>0</v>
      </c>
      <c r="R31" s="627">
        <v>0</v>
      </c>
      <c r="S31" s="627">
        <v>0</v>
      </c>
      <c r="T31" s="627">
        <v>0</v>
      </c>
      <c r="U31" s="627">
        <v>0</v>
      </c>
      <c r="V31" s="627">
        <v>0</v>
      </c>
      <c r="W31" s="627"/>
      <c r="X31" s="627"/>
      <c r="Y31" s="627">
        <v>10</v>
      </c>
      <c r="Z31" s="627" t="s">
        <v>105</v>
      </c>
      <c r="AA31" s="629" t="s">
        <v>105</v>
      </c>
    </row>
    <row r="32" spans="1:27" s="581" customFormat="1" ht="25.5" hidden="1">
      <c r="A32" s="580"/>
      <c r="B32" s="740">
        <v>44021</v>
      </c>
      <c r="C32" s="740">
        <v>9040</v>
      </c>
      <c r="D32" s="628"/>
      <c r="E32" s="627"/>
      <c r="F32" s="627"/>
      <c r="G32" s="627" t="s">
        <v>942</v>
      </c>
      <c r="H32" s="627" t="s">
        <v>945</v>
      </c>
      <c r="I32" s="627"/>
      <c r="J32" s="739"/>
      <c r="K32" s="739"/>
      <c r="L32" s="627" t="s">
        <v>944</v>
      </c>
      <c r="M32" s="627">
        <v>70</v>
      </c>
      <c r="N32" s="627">
        <v>78.750000000000014</v>
      </c>
      <c r="O32" s="627">
        <v>112.50000000000003</v>
      </c>
      <c r="P32" s="627">
        <v>225.00000000000006</v>
      </c>
      <c r="Q32" s="627">
        <v>0</v>
      </c>
      <c r="R32" s="627">
        <v>0</v>
      </c>
      <c r="S32" s="627">
        <v>0</v>
      </c>
      <c r="T32" s="627">
        <v>0</v>
      </c>
      <c r="U32" s="627">
        <v>0</v>
      </c>
      <c r="V32" s="627">
        <v>0</v>
      </c>
      <c r="W32" s="627"/>
      <c r="X32" s="627"/>
      <c r="Y32" s="627">
        <v>1300</v>
      </c>
      <c r="Z32" s="627" t="s">
        <v>53</v>
      </c>
      <c r="AA32" s="629" t="s">
        <v>149</v>
      </c>
    </row>
    <row r="33" spans="1:28" s="581" customFormat="1" ht="25.5" hidden="1">
      <c r="A33" s="580"/>
      <c r="B33" s="740">
        <v>44021</v>
      </c>
      <c r="C33" s="740">
        <v>9050</v>
      </c>
      <c r="D33" s="628"/>
      <c r="E33" s="627"/>
      <c r="F33" s="627"/>
      <c r="G33" s="627" t="s">
        <v>942</v>
      </c>
      <c r="H33" s="627" t="s">
        <v>945</v>
      </c>
      <c r="I33" s="627"/>
      <c r="J33" s="739"/>
      <c r="K33" s="739"/>
      <c r="L33" s="627" t="s">
        <v>947</v>
      </c>
      <c r="M33" s="627">
        <v>1486</v>
      </c>
      <c r="N33" s="627">
        <v>668.7</v>
      </c>
      <c r="O33" s="627">
        <v>955.28571428571433</v>
      </c>
      <c r="P33" s="627">
        <v>1910.5714285714289</v>
      </c>
      <c r="Q33" s="627">
        <v>0</v>
      </c>
      <c r="R33" s="627">
        <v>0</v>
      </c>
      <c r="S33" s="627">
        <v>0</v>
      </c>
      <c r="T33" s="627">
        <v>0</v>
      </c>
      <c r="U33" s="627">
        <v>0</v>
      </c>
      <c r="V33" s="627">
        <v>0</v>
      </c>
      <c r="W33" s="627"/>
      <c r="X33" s="627"/>
      <c r="Y33" s="627">
        <v>10</v>
      </c>
      <c r="Z33" s="627" t="s">
        <v>105</v>
      </c>
      <c r="AA33" s="629" t="s">
        <v>105</v>
      </c>
    </row>
    <row r="34" spans="1:28" s="563" customFormat="1" hidden="1">
      <c r="A34" s="583" t="s">
        <v>269</v>
      </c>
      <c r="B34" s="584"/>
      <c r="C34" s="584"/>
      <c r="D34" s="584"/>
      <c r="E34" s="584"/>
      <c r="F34" s="584"/>
      <c r="G34" s="584"/>
      <c r="H34" s="584"/>
      <c r="I34" s="584"/>
      <c r="J34" s="584"/>
      <c r="K34" s="584"/>
      <c r="L34" s="585"/>
      <c r="M34" s="585">
        <f>SUM(M28:M33)</f>
        <v>3771</v>
      </c>
      <c r="N34" s="585">
        <f>SUM(N28:N33)</f>
        <v>10696.95</v>
      </c>
      <c r="O34" s="585">
        <f>SUM(O28:O33)</f>
        <v>12292.071428571428</v>
      </c>
      <c r="P34" s="585">
        <f>SUM(P28:P33)</f>
        <v>2178.4285714285716</v>
      </c>
      <c r="Q34" s="585">
        <f>SUM(Q28:Q33)</f>
        <v>0</v>
      </c>
      <c r="R34" s="585">
        <f>SUM(R28:R33)</f>
        <v>0</v>
      </c>
      <c r="S34" s="585">
        <f>SUM(S28:S33)</f>
        <v>6187.5</v>
      </c>
      <c r="T34" s="585">
        <f>SUM(T28:T33)</f>
        <v>18562.5</v>
      </c>
      <c r="U34" s="585">
        <f>SUM(U28:U33)</f>
        <v>115.71428571428572</v>
      </c>
      <c r="V34" s="585">
        <f>SUM(V28:V33)</f>
        <v>0</v>
      </c>
      <c r="W34" s="585">
        <f>SUM(W28:W33)</f>
        <v>0</v>
      </c>
      <c r="X34" s="585"/>
      <c r="Y34" s="586"/>
      <c r="Z34" s="586"/>
      <c r="AA34" s="587"/>
    </row>
    <row r="35" spans="1:28" s="563" customFormat="1">
      <c r="A35" s="583" t="s">
        <v>276</v>
      </c>
      <c r="B35" s="584"/>
      <c r="C35" s="584"/>
      <c r="D35" s="584"/>
      <c r="E35" s="584"/>
      <c r="F35" s="584"/>
      <c r="G35" s="584"/>
      <c r="H35" s="584"/>
      <c r="I35" s="584"/>
      <c r="J35" s="584"/>
      <c r="K35" s="584"/>
      <c r="L35" s="585"/>
      <c r="M35" s="585">
        <f>SUMIF($AA$28:$AA$33,"industrie",M28:M33)</f>
        <v>2200</v>
      </c>
      <c r="N35" s="585">
        <f>SUMIF($AA$28:$AA$33,"industrie",N28:N33)</f>
        <v>9900</v>
      </c>
      <c r="O35" s="585">
        <f>SUMIF($AA$28:$AA$33,"industrie",O28:O33)</f>
        <v>11137.5</v>
      </c>
      <c r="P35" s="585">
        <f>SUMIF($AA$28:$AA$33,"industrie",P28:P33)</f>
        <v>0</v>
      </c>
      <c r="Q35" s="585">
        <f>SUMIF($AA$28:$AA$33,"industrie",Q28:Q33)</f>
        <v>0</v>
      </c>
      <c r="R35" s="585">
        <f>SUMIF($AA$28:$AA$33,"industrie",R28:R33)</f>
        <v>0</v>
      </c>
      <c r="S35" s="585">
        <f>SUMIF($AA$28:$AA$33,"industrie",S28:S33)</f>
        <v>6187.5</v>
      </c>
      <c r="T35" s="585">
        <f>SUMIF($AA$28:$AA$33,"industrie",T28:T33)</f>
        <v>18562.5</v>
      </c>
      <c r="U35" s="585">
        <f>SUMIF($AA$28:$AA$33,"industrie",U28:U33)</f>
        <v>0</v>
      </c>
      <c r="V35" s="585">
        <f>SUMIF($AA$28:$AA$33,"industrie",V28:V33)</f>
        <v>0</v>
      </c>
      <c r="W35" s="585">
        <f>SUMIF($AA$28:$AA$33,"industrie",W28:W33)</f>
        <v>0</v>
      </c>
      <c r="X35" s="585"/>
      <c r="Y35" s="586"/>
      <c r="Z35" s="586"/>
      <c r="AA35" s="587"/>
    </row>
    <row r="36" spans="1:28" s="563" customFormat="1">
      <c r="A36" s="583" t="s">
        <v>277</v>
      </c>
      <c r="B36" s="584"/>
      <c r="C36" s="584"/>
      <c r="D36" s="584"/>
      <c r="E36" s="584"/>
      <c r="F36" s="584"/>
      <c r="G36" s="584"/>
      <c r="H36" s="584"/>
      <c r="I36" s="584"/>
      <c r="J36" s="584"/>
      <c r="K36" s="584"/>
      <c r="L36" s="585"/>
      <c r="M36" s="585">
        <f ca="1">SUMIF($AA$28:AD33,"tertiair",M28:M33)</f>
        <v>84</v>
      </c>
      <c r="N36" s="585">
        <f ca="1">SUMIF($AA$28:AE33,"tertiair",N28:N33)</f>
        <v>123.75000000000001</v>
      </c>
      <c r="O36" s="585">
        <f ca="1">SUMIF($AA$28:AF33,"tertiair",O28:O33)</f>
        <v>176.78571428571433</v>
      </c>
      <c r="P36" s="585">
        <f ca="1">SUMIF($AA$28:AG33,"tertiair",P28:P33)</f>
        <v>237.85714285714292</v>
      </c>
      <c r="Q36" s="585">
        <f ca="1">SUMIF($AA$28:AH33,"tertiair",Q28:Q33)</f>
        <v>0</v>
      </c>
      <c r="R36" s="585">
        <f ca="1">SUMIF($AA$28:AI33,"tertiair",R28:R33)</f>
        <v>0</v>
      </c>
      <c r="S36" s="585">
        <f ca="1">SUMIF($AA$28:AJ33,"tertiair",S28:S33)</f>
        <v>0</v>
      </c>
      <c r="T36" s="585">
        <f ca="1">SUMIF($AA$28:AK33,"tertiair",T28:T33)</f>
        <v>0</v>
      </c>
      <c r="U36" s="585">
        <f ca="1">SUMIF($AA$28:AL33,"tertiair",U28:U33)</f>
        <v>115.71428571428572</v>
      </c>
      <c r="V36" s="585">
        <f ca="1">SUMIF($AA$28:AM33,"tertiair",V28:V33)</f>
        <v>0</v>
      </c>
      <c r="W36" s="585">
        <f ca="1">SUMIF($AA$28:AN33,"tertiair",W28:W33)</f>
        <v>0</v>
      </c>
      <c r="X36" s="585"/>
      <c r="Y36" s="586"/>
      <c r="Z36" s="586"/>
      <c r="AA36" s="587"/>
    </row>
    <row r="37" spans="1:28" s="563" customFormat="1" ht="15.75" thickBot="1">
      <c r="A37" s="588" t="s">
        <v>278</v>
      </c>
      <c r="B37" s="589"/>
      <c r="C37" s="589"/>
      <c r="D37" s="589"/>
      <c r="E37" s="589"/>
      <c r="F37" s="589"/>
      <c r="G37" s="589"/>
      <c r="H37" s="589"/>
      <c r="I37" s="589"/>
      <c r="J37" s="589"/>
      <c r="K37" s="589"/>
      <c r="L37" s="590"/>
      <c r="M37" s="590">
        <f>SUMIF($AA$28:$AA$33,"landbouw",M28:M33)</f>
        <v>1487</v>
      </c>
      <c r="N37" s="590">
        <f>SUMIF($AA$28:$AA$33,"landbouw",N28:N33)</f>
        <v>673.2</v>
      </c>
      <c r="O37" s="590">
        <f>SUMIF($AA$28:$AA$33,"landbouw",O28:O33)</f>
        <v>977.78571428571433</v>
      </c>
      <c r="P37" s="590">
        <f>SUMIF($AA$28:$AA$33,"landbouw",P28:P33)</f>
        <v>1940.5714285714289</v>
      </c>
      <c r="Q37" s="590">
        <f>SUMIF($AA$28:$AA$33,"landbouw",Q28:Q33)</f>
        <v>0</v>
      </c>
      <c r="R37" s="590">
        <f>SUMIF($AA$28:$AA$33,"landbouw",R28:R33)</f>
        <v>0</v>
      </c>
      <c r="S37" s="590">
        <f>SUMIF($AA$28:$AA$33,"landbouw",S28:S33)</f>
        <v>0</v>
      </c>
      <c r="T37" s="590">
        <f>SUMIF($AA$28:$AA$33,"landbouw",T28:T33)</f>
        <v>0</v>
      </c>
      <c r="U37" s="590">
        <f>SUMIF($AA$28:$AA$33,"landbouw",U28:U33)</f>
        <v>0</v>
      </c>
      <c r="V37" s="590">
        <f>SUMIF($AA$28:$AA$33,"landbouw",V28:V33)</f>
        <v>0</v>
      </c>
      <c r="W37" s="590">
        <f>SUMIF($AA$28:$AA$33,"landbouw",W28:W33)</f>
        <v>0</v>
      </c>
      <c r="X37" s="590"/>
      <c r="Y37" s="591"/>
      <c r="Z37" s="591"/>
      <c r="AA37" s="592"/>
    </row>
    <row r="38" spans="1:28" s="532" customFormat="1" ht="15.75" thickBot="1">
      <c r="A38" s="593"/>
      <c r="B38" s="594"/>
      <c r="C38" s="594"/>
      <c r="D38" s="594"/>
      <c r="E38" s="594"/>
      <c r="F38" s="594"/>
      <c r="G38" s="594"/>
      <c r="H38" s="594"/>
      <c r="I38" s="594"/>
      <c r="J38" s="594"/>
      <c r="K38" s="594"/>
      <c r="L38" s="577"/>
      <c r="M38" s="577"/>
      <c r="N38" s="577"/>
      <c r="O38" s="578"/>
      <c r="P38" s="578"/>
    </row>
    <row r="39" spans="1:28" s="532" customFormat="1" ht="45">
      <c r="A39" s="595" t="s">
        <v>270</v>
      </c>
      <c r="B39" s="624" t="s">
        <v>89</v>
      </c>
      <c r="C39" s="624" t="s">
        <v>90</v>
      </c>
      <c r="D39" s="624"/>
      <c r="E39" s="624"/>
      <c r="F39" s="624"/>
      <c r="G39" s="624" t="s">
        <v>91</v>
      </c>
      <c r="H39" s="624" t="s">
        <v>92</v>
      </c>
      <c r="I39" s="624"/>
      <c r="J39" s="624"/>
      <c r="K39" s="624"/>
      <c r="L39" s="624" t="s">
        <v>93</v>
      </c>
      <c r="M39" s="625" t="s">
        <v>287</v>
      </c>
      <c r="N39" s="625" t="s">
        <v>94</v>
      </c>
      <c r="O39" s="625" t="s">
        <v>95</v>
      </c>
      <c r="P39" s="625" t="s">
        <v>533</v>
      </c>
      <c r="Q39" s="625" t="s">
        <v>96</v>
      </c>
      <c r="R39" s="625" t="s">
        <v>97</v>
      </c>
      <c r="S39" s="625" t="s">
        <v>98</v>
      </c>
      <c r="T39" s="625" t="s">
        <v>99</v>
      </c>
      <c r="U39" s="625" t="s">
        <v>100</v>
      </c>
      <c r="V39" s="625" t="s">
        <v>101</v>
      </c>
      <c r="W39" s="624" t="s">
        <v>102</v>
      </c>
      <c r="X39" s="624" t="s">
        <v>941</v>
      </c>
      <c r="Y39" s="624" t="s">
        <v>288</v>
      </c>
      <c r="Z39" s="624" t="s">
        <v>103</v>
      </c>
      <c r="AA39" s="626" t="s">
        <v>289</v>
      </c>
    </row>
    <row r="40" spans="1:28" s="596" customFormat="1" ht="63.75" hidden="1">
      <c r="A40" s="582"/>
      <c r="B40" s="740">
        <v>44021</v>
      </c>
      <c r="C40" s="740">
        <v>9000</v>
      </c>
      <c r="D40" s="630"/>
      <c r="E40" s="630"/>
      <c r="F40" s="630"/>
      <c r="G40" s="630" t="s">
        <v>948</v>
      </c>
      <c r="H40" s="630" t="s">
        <v>949</v>
      </c>
      <c r="I40" s="630"/>
      <c r="J40" s="739"/>
      <c r="K40" s="739"/>
      <c r="L40" s="630" t="s">
        <v>950</v>
      </c>
      <c r="M40" s="630">
        <v>413</v>
      </c>
      <c r="N40" s="630">
        <v>1858.5</v>
      </c>
      <c r="O40" s="630">
        <v>0</v>
      </c>
      <c r="P40" s="630">
        <v>0</v>
      </c>
      <c r="Q40" s="630">
        <v>5310</v>
      </c>
      <c r="R40" s="630">
        <v>0</v>
      </c>
      <c r="S40" s="630">
        <v>0</v>
      </c>
      <c r="T40" s="630">
        <v>0</v>
      </c>
      <c r="U40" s="630">
        <v>0</v>
      </c>
      <c r="V40" s="630">
        <v>0</v>
      </c>
      <c r="W40" s="630"/>
      <c r="X40" s="630"/>
      <c r="Y40" s="630">
        <v>1600</v>
      </c>
      <c r="Z40" s="630" t="s">
        <v>49</v>
      </c>
      <c r="AA40" s="631" t="s">
        <v>149</v>
      </c>
    </row>
    <row r="41" spans="1:28" s="563" customFormat="1" hidden="1">
      <c r="A41" s="583" t="s">
        <v>269</v>
      </c>
      <c r="B41" s="584"/>
      <c r="C41" s="584"/>
      <c r="D41" s="584"/>
      <c r="E41" s="584"/>
      <c r="F41" s="584"/>
      <c r="G41" s="584"/>
      <c r="H41" s="584"/>
      <c r="I41" s="584"/>
      <c r="J41" s="584"/>
      <c r="K41" s="584"/>
      <c r="L41" s="585"/>
      <c r="M41" s="585">
        <f>SUM(M40:M40)</f>
        <v>413</v>
      </c>
      <c r="N41" s="585">
        <f>SUM(N40:N40)</f>
        <v>1858.5</v>
      </c>
      <c r="O41" s="585">
        <f>SUM(O40:O40)</f>
        <v>0</v>
      </c>
      <c r="P41" s="585">
        <f>SUM(P40:P40)</f>
        <v>0</v>
      </c>
      <c r="Q41" s="585">
        <f>SUM(Q40:Q40)</f>
        <v>5310</v>
      </c>
      <c r="R41" s="585">
        <f>SUM(R40:R40)</f>
        <v>0</v>
      </c>
      <c r="S41" s="585">
        <f>SUM(S40:S40)</f>
        <v>0</v>
      </c>
      <c r="T41" s="585">
        <f>SUM(T40:T40)</f>
        <v>0</v>
      </c>
      <c r="U41" s="585">
        <f>SUM(U40:U40)</f>
        <v>0</v>
      </c>
      <c r="V41" s="585">
        <f>SUM(V40:V40)</f>
        <v>0</v>
      </c>
      <c r="W41" s="585">
        <f>SUM(W40:W40)</f>
        <v>0</v>
      </c>
      <c r="X41" s="585"/>
      <c r="Y41" s="586"/>
      <c r="Z41" s="586"/>
      <c r="AA41" s="587"/>
    </row>
    <row r="42" spans="1:28" s="563" customFormat="1">
      <c r="A42" s="583" t="s">
        <v>276</v>
      </c>
      <c r="B42" s="584"/>
      <c r="C42" s="584"/>
      <c r="D42" s="584"/>
      <c r="E42" s="584"/>
      <c r="F42" s="584"/>
      <c r="G42" s="584"/>
      <c r="H42" s="584"/>
      <c r="I42" s="584"/>
      <c r="J42" s="584"/>
      <c r="K42" s="584"/>
      <c r="L42" s="585"/>
      <c r="M42" s="585">
        <f>SUMIF($AA$40:$AA$40,"industrie",M40:M40)</f>
        <v>0</v>
      </c>
      <c r="N42" s="585">
        <f>SUMIF($AA$40:$AA$40,"industrie",N40:N40)</f>
        <v>0</v>
      </c>
      <c r="O42" s="585">
        <f>SUMIF($AA$40:$AA$40,"industrie",O40:O40)</f>
        <v>0</v>
      </c>
      <c r="P42" s="585">
        <f>SUMIF($AA$40:$AA$40,"industrie",P40:P40)</f>
        <v>0</v>
      </c>
      <c r="Q42" s="585">
        <f>SUMIF($AA$40:$AA$40,"industrie",Q40:Q40)</f>
        <v>0</v>
      </c>
      <c r="R42" s="585">
        <f>SUMIF($AA$40:$AA$40,"industrie",R40:R40)</f>
        <v>0</v>
      </c>
      <c r="S42" s="585">
        <f>SUMIF($AA$40:$AA$40,"industrie",S40:S40)</f>
        <v>0</v>
      </c>
      <c r="T42" s="585">
        <f>SUMIF($AA$40:$AA$40,"industrie",T40:T40)</f>
        <v>0</v>
      </c>
      <c r="U42" s="585">
        <f>SUMIF($AA$40:$AA$40,"industrie",U40:U40)</f>
        <v>0</v>
      </c>
      <c r="V42" s="585">
        <f>SUMIF($AA$40:$AA$40,"industrie",V40:V40)</f>
        <v>0</v>
      </c>
      <c r="W42" s="585">
        <f>SUMIF($AA$40:$AA$40,"industrie",W40:W40)</f>
        <v>0</v>
      </c>
      <c r="X42" s="585"/>
      <c r="Y42" s="586"/>
      <c r="Z42" s="586"/>
      <c r="AA42" s="587"/>
    </row>
    <row r="43" spans="1:28" s="563" customFormat="1">
      <c r="A43" s="583" t="s">
        <v>277</v>
      </c>
      <c r="B43" s="584"/>
      <c r="C43" s="584"/>
      <c r="D43" s="584"/>
      <c r="E43" s="584"/>
      <c r="F43" s="584"/>
      <c r="G43" s="584"/>
      <c r="H43" s="584"/>
      <c r="I43" s="584"/>
      <c r="J43" s="584"/>
      <c r="K43" s="584"/>
      <c r="L43" s="585"/>
      <c r="M43" s="585">
        <f>SUMIF($AA$40:$AA$41,"tertiair",M40:M41)</f>
        <v>413</v>
      </c>
      <c r="N43" s="585">
        <f>SUMIF($AA$40:$AA$41,"tertiair",N40:N41)</f>
        <v>1858.5</v>
      </c>
      <c r="O43" s="585">
        <f>SUMIF($AA$40:$AA$41,"tertiair",O40:O41)</f>
        <v>0</v>
      </c>
      <c r="P43" s="585">
        <f>SUMIF($AA$40:$AA$41,"tertiair",P40:P41)</f>
        <v>0</v>
      </c>
      <c r="Q43" s="585">
        <f>SUMIF($AA$40:$AA$41,"tertiair",Q40:Q41)</f>
        <v>5310</v>
      </c>
      <c r="R43" s="585">
        <f>SUMIF($AA$40:$AA$41,"tertiair",R40:R41)</f>
        <v>0</v>
      </c>
      <c r="S43" s="585">
        <f>SUMIF($AA$40:$AA$41,"tertiair",S40:S41)</f>
        <v>0</v>
      </c>
      <c r="T43" s="585">
        <f>SUMIF($AA$40:$AA$41,"tertiair",T40:T41)</f>
        <v>0</v>
      </c>
      <c r="U43" s="585">
        <f>SUMIF($AA$40:$AA$41,"tertiair",U40:U41)</f>
        <v>0</v>
      </c>
      <c r="V43" s="585">
        <f>SUMIF($AA$40:$AA$41,"tertiair",V40:V41)</f>
        <v>0</v>
      </c>
      <c r="W43" s="585">
        <f>SUMIF($AA$40:$AA$41,"tertiair",W40:W41)</f>
        <v>0</v>
      </c>
      <c r="X43" s="585"/>
      <c r="Y43" s="586"/>
      <c r="Z43" s="586"/>
      <c r="AA43" s="587"/>
    </row>
    <row r="44" spans="1:28" s="563" customFormat="1" ht="15.75" thickBot="1">
      <c r="A44" s="588" t="s">
        <v>278</v>
      </c>
      <c r="B44" s="589"/>
      <c r="C44" s="589"/>
      <c r="D44" s="589"/>
      <c r="E44" s="589"/>
      <c r="F44" s="589"/>
      <c r="G44" s="589"/>
      <c r="H44" s="589"/>
      <c r="I44" s="589"/>
      <c r="J44" s="589"/>
      <c r="K44" s="589"/>
      <c r="L44" s="590"/>
      <c r="M44" s="590">
        <f>SUMIF($AA$40:$AA$42,"landbouw",M40:M42)</f>
        <v>0</v>
      </c>
      <c r="N44" s="590">
        <f>SUMIF($AA$40:$AA$42,"landbouw",N40:N42)</f>
        <v>0</v>
      </c>
      <c r="O44" s="590">
        <f>SUMIF($AA$40:$AA$42,"landbouw",O40:O42)</f>
        <v>0</v>
      </c>
      <c r="P44" s="590">
        <f>SUMIF($AA$40:$AA$42,"landbouw",P40:P42)</f>
        <v>0</v>
      </c>
      <c r="Q44" s="590">
        <f>SUMIF($AA$40:$AA$42,"landbouw",Q40:Q42)</f>
        <v>0</v>
      </c>
      <c r="R44" s="590">
        <f>SUMIF($AA$40:$AA$42,"landbouw",R40:R42)</f>
        <v>0</v>
      </c>
      <c r="S44" s="590">
        <f>SUMIF($AA$40:$AA$42,"landbouw",S40:S42)</f>
        <v>0</v>
      </c>
      <c r="T44" s="590">
        <f>SUMIF($AA$40:$AA$42,"landbouw",T40:T42)</f>
        <v>0</v>
      </c>
      <c r="U44" s="590">
        <f>SUMIF($AA$40:$AA$42,"landbouw",U40:U42)</f>
        <v>0</v>
      </c>
      <c r="V44" s="590">
        <f>SUMIF($AA$40:$AA$42,"landbouw",V40:V42)</f>
        <v>0</v>
      </c>
      <c r="W44" s="590">
        <f>SUMIF($AA$40:$AA$42,"landbouw",W40:W42)</f>
        <v>0</v>
      </c>
      <c r="X44" s="590"/>
      <c r="Y44" s="591"/>
      <c r="Z44" s="591"/>
      <c r="AA44" s="592"/>
    </row>
    <row r="45" spans="1:28" s="597" customFormat="1">
      <c r="A45" s="593"/>
      <c r="B45" s="577"/>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row>
    <row r="46" spans="1:28" s="597" customFormat="1" ht="15.75" thickBot="1">
      <c r="A46" s="593"/>
      <c r="B46" s="577"/>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row>
    <row r="47" spans="1:28">
      <c r="A47" s="598" t="s">
        <v>271</v>
      </c>
      <c r="B47" s="599"/>
      <c r="C47" s="599"/>
      <c r="D47" s="599"/>
      <c r="E47" s="599"/>
      <c r="F47" s="599"/>
      <c r="G47" s="599"/>
      <c r="H47" s="599"/>
      <c r="I47" s="600"/>
      <c r="J47" s="601"/>
      <c r="K47" s="601"/>
      <c r="L47" s="602"/>
      <c r="M47" s="602"/>
      <c r="N47" s="602"/>
      <c r="O47" s="602"/>
      <c r="P47" s="602"/>
    </row>
    <row r="48" spans="1:28">
      <c r="A48" s="604"/>
      <c r="B48" s="594"/>
      <c r="C48" s="594"/>
      <c r="D48" s="594"/>
      <c r="E48" s="594"/>
      <c r="F48" s="594"/>
      <c r="G48" s="594"/>
      <c r="H48" s="594"/>
      <c r="I48" s="605"/>
      <c r="J48" s="594"/>
      <c r="K48" s="594"/>
      <c r="L48" s="602"/>
      <c r="M48" s="602"/>
      <c r="N48" s="602"/>
      <c r="O48" s="602"/>
      <c r="P48" s="602"/>
    </row>
    <row r="49" spans="1:16">
      <c r="A49" s="606"/>
      <c r="B49" s="607" t="s">
        <v>272</v>
      </c>
      <c r="C49" s="607" t="s">
        <v>273</v>
      </c>
      <c r="D49" s="607"/>
      <c r="E49" s="607"/>
      <c r="F49" s="607"/>
      <c r="G49" s="607"/>
      <c r="H49" s="607"/>
      <c r="I49" s="608"/>
      <c r="J49" s="607"/>
      <c r="K49" s="607"/>
      <c r="L49" s="607"/>
      <c r="M49" s="607"/>
      <c r="N49" s="607"/>
      <c r="O49" s="607"/>
      <c r="P49" s="602"/>
    </row>
    <row r="50" spans="1:16">
      <c r="A50" s="604" t="s">
        <v>269</v>
      </c>
      <c r="B50" s="609">
        <f>IF(ISERROR(O34/(O34+N34)),0,O34/(O34+N34))</f>
        <v>0.53469311283056531</v>
      </c>
      <c r="C50" s="610">
        <f>IF(ISERROR(N34/(O34+N34)),0,N34/(N34+O34))</f>
        <v>0.46530688716943464</v>
      </c>
      <c r="D50" s="577"/>
      <c r="E50" s="577"/>
      <c r="F50" s="577"/>
      <c r="G50" s="577"/>
      <c r="H50" s="577"/>
      <c r="I50" s="611"/>
      <c r="J50" s="577"/>
      <c r="K50" s="577"/>
      <c r="L50" s="612"/>
      <c r="M50" s="612"/>
      <c r="N50" s="612"/>
      <c r="O50" s="612"/>
      <c r="P50" s="602"/>
    </row>
    <row r="51" spans="1:16">
      <c r="A51" s="604"/>
      <c r="B51" s="613"/>
      <c r="C51" s="613"/>
      <c r="D51" s="613"/>
      <c r="E51" s="613"/>
      <c r="F51" s="613"/>
      <c r="G51" s="613"/>
      <c r="H51" s="613"/>
      <c r="I51" s="614"/>
      <c r="J51" s="613"/>
      <c r="K51" s="613"/>
      <c r="L51" s="615"/>
      <c r="M51" s="615"/>
      <c r="N51" s="615"/>
      <c r="O51" s="615"/>
      <c r="P51" s="602"/>
    </row>
    <row r="52" spans="1:16" ht="30">
      <c r="A52" s="616"/>
      <c r="B52" s="617" t="s">
        <v>533</v>
      </c>
      <c r="C52" s="617" t="s">
        <v>96</v>
      </c>
      <c r="D52" s="617" t="s">
        <v>97</v>
      </c>
      <c r="E52" s="617" t="s">
        <v>98</v>
      </c>
      <c r="F52" s="617" t="s">
        <v>99</v>
      </c>
      <c r="G52" s="617" t="s">
        <v>100</v>
      </c>
      <c r="H52" s="617" t="s">
        <v>101</v>
      </c>
      <c r="I52" s="618" t="s">
        <v>102</v>
      </c>
      <c r="J52" s="607"/>
      <c r="K52" s="607"/>
      <c r="L52" s="615"/>
      <c r="M52" s="615"/>
      <c r="N52" s="615"/>
      <c r="O52" s="602"/>
      <c r="P52" s="602"/>
    </row>
    <row r="53" spans="1:16">
      <c r="A53" s="606" t="s">
        <v>274</v>
      </c>
      <c r="B53" s="619">
        <f t="shared" ref="B53:I53" si="2">$C$50*P34</f>
        <v>1013.6378174923871</v>
      </c>
      <c r="C53" s="619">
        <f t="shared" si="2"/>
        <v>0</v>
      </c>
      <c r="D53" s="619">
        <f t="shared" si="2"/>
        <v>0</v>
      </c>
      <c r="E53" s="619">
        <f t="shared" si="2"/>
        <v>2879.0863643608768</v>
      </c>
      <c r="F53" s="619">
        <f t="shared" si="2"/>
        <v>8637.25909308263</v>
      </c>
      <c r="G53" s="619">
        <f t="shared" si="2"/>
        <v>53.842654086748865</v>
      </c>
      <c r="H53" s="619">
        <f t="shared" si="2"/>
        <v>0</v>
      </c>
      <c r="I53" s="620">
        <f t="shared" si="2"/>
        <v>0</v>
      </c>
      <c r="J53" s="577"/>
      <c r="K53" s="577"/>
      <c r="L53" s="615"/>
      <c r="M53" s="615"/>
      <c r="N53" s="615"/>
      <c r="O53" s="602"/>
      <c r="P53" s="602"/>
    </row>
    <row r="54" spans="1:16" ht="15.75" thickBot="1">
      <c r="A54" s="621" t="s">
        <v>275</v>
      </c>
      <c r="B54" s="622">
        <f t="shared" ref="B54:I54" si="3">$B$50*P34</f>
        <v>1164.7907539361845</v>
      </c>
      <c r="C54" s="622">
        <f t="shared" si="3"/>
        <v>0</v>
      </c>
      <c r="D54" s="622">
        <f t="shared" si="3"/>
        <v>0</v>
      </c>
      <c r="E54" s="622">
        <f t="shared" si="3"/>
        <v>3308.4136356391227</v>
      </c>
      <c r="F54" s="622">
        <f t="shared" si="3"/>
        <v>9925.2409069173682</v>
      </c>
      <c r="G54" s="622">
        <f t="shared" si="3"/>
        <v>61.87163162753685</v>
      </c>
      <c r="H54" s="622">
        <f t="shared" si="3"/>
        <v>0</v>
      </c>
      <c r="I54" s="623">
        <f t="shared" si="3"/>
        <v>0</v>
      </c>
      <c r="J54" s="577"/>
      <c r="K54" s="577"/>
      <c r="L54" s="615"/>
      <c r="M54" s="615"/>
      <c r="N54" s="615"/>
      <c r="O54" s="602"/>
      <c r="P54" s="602"/>
    </row>
    <row r="55" spans="1:16">
      <c r="J55" s="561"/>
      <c r="K55" s="561"/>
      <c r="L55" s="561"/>
      <c r="M55" s="561"/>
      <c r="N55" s="561"/>
    </row>
    <row r="56" spans="1:16">
      <c r="J56" s="561"/>
      <c r="K56" s="561"/>
      <c r="L56" s="561"/>
      <c r="M56" s="561"/>
      <c r="N56"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732812.55160332227</v>
      </c>
      <c r="D10" s="639">
        <f ca="1">tertiair!C16</f>
        <v>176.78571428571433</v>
      </c>
      <c r="E10" s="639">
        <f ca="1">tertiair!D16</f>
        <v>875946.47822712618</v>
      </c>
      <c r="F10" s="639">
        <f>tertiair!E16</f>
        <v>6333.8216680067007</v>
      </c>
      <c r="G10" s="639">
        <f ca="1">tertiair!F16</f>
        <v>164390.25279821991</v>
      </c>
      <c r="H10" s="639">
        <f>tertiair!G16</f>
        <v>0</v>
      </c>
      <c r="I10" s="639">
        <f>tertiair!H16</f>
        <v>0</v>
      </c>
      <c r="J10" s="639">
        <f>tertiair!I16</f>
        <v>0</v>
      </c>
      <c r="K10" s="639">
        <f>tertiair!J16</f>
        <v>0</v>
      </c>
      <c r="L10" s="639">
        <f>tertiair!K16</f>
        <v>0</v>
      </c>
      <c r="M10" s="639">
        <f ca="1">tertiair!L16</f>
        <v>0</v>
      </c>
      <c r="N10" s="639">
        <f>tertiair!M16</f>
        <v>0</v>
      </c>
      <c r="O10" s="639">
        <f ca="1">tertiair!N16</f>
        <v>19987.672247373186</v>
      </c>
      <c r="P10" s="639">
        <f>tertiair!O16</f>
        <v>21.88666666666667</v>
      </c>
      <c r="Q10" s="640">
        <f>tertiair!P16</f>
        <v>228.8</v>
      </c>
      <c r="R10" s="642">
        <f ca="1">SUM(C10:Q10)</f>
        <v>1799898.2489250009</v>
      </c>
      <c r="S10" s="68"/>
    </row>
    <row r="11" spans="1:19" s="443" customFormat="1">
      <c r="A11" s="753" t="s">
        <v>214</v>
      </c>
      <c r="B11" s="758"/>
      <c r="C11" s="639">
        <f>huishoudens!B8</f>
        <v>398103.59379704838</v>
      </c>
      <c r="D11" s="639">
        <f>huishoudens!C8</f>
        <v>0</v>
      </c>
      <c r="E11" s="639">
        <f>huishoudens!D8</f>
        <v>1178342.7580722184</v>
      </c>
      <c r="F11" s="639">
        <f>huishoudens!E8</f>
        <v>18529.633369243169</v>
      </c>
      <c r="G11" s="639">
        <f>huishoudens!F8</f>
        <v>564914.7244203455</v>
      </c>
      <c r="H11" s="639">
        <f>huishoudens!G8</f>
        <v>0</v>
      </c>
      <c r="I11" s="639">
        <f>huishoudens!H8</f>
        <v>0</v>
      </c>
      <c r="J11" s="639">
        <f>huishoudens!I8</f>
        <v>0</v>
      </c>
      <c r="K11" s="639">
        <f>huishoudens!J8</f>
        <v>10250.180832424907</v>
      </c>
      <c r="L11" s="639">
        <f>huishoudens!K8</f>
        <v>0</v>
      </c>
      <c r="M11" s="639">
        <f>huishoudens!L8</f>
        <v>0</v>
      </c>
      <c r="N11" s="639">
        <f>huishoudens!M8</f>
        <v>0</v>
      </c>
      <c r="O11" s="639">
        <f>huishoudens!N8</f>
        <v>163211.73882280427</v>
      </c>
      <c r="P11" s="639">
        <f>huishoudens!O8</f>
        <v>880.15666666666664</v>
      </c>
      <c r="Q11" s="640">
        <f>huishoudens!P8</f>
        <v>1449.0666666666666</v>
      </c>
      <c r="R11" s="642">
        <f>SUM(C11:Q11)</f>
        <v>2335681.8526474186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389592.08163220499</v>
      </c>
      <c r="D13" s="639">
        <f>industrie!C18</f>
        <v>11137.5</v>
      </c>
      <c r="E13" s="639">
        <f>industrie!D18</f>
        <v>284696.1158572727</v>
      </c>
      <c r="F13" s="639">
        <f>industrie!E18</f>
        <v>4605.0427103565962</v>
      </c>
      <c r="G13" s="639">
        <f>industrie!F18</f>
        <v>92858.861809887618</v>
      </c>
      <c r="H13" s="639">
        <f>industrie!G18</f>
        <v>0</v>
      </c>
      <c r="I13" s="639">
        <f>industrie!H18</f>
        <v>0</v>
      </c>
      <c r="J13" s="639">
        <f>industrie!I18</f>
        <v>0</v>
      </c>
      <c r="K13" s="639">
        <f>industrie!J18</f>
        <v>1700.7963586394421</v>
      </c>
      <c r="L13" s="639">
        <f>industrie!K18</f>
        <v>0</v>
      </c>
      <c r="M13" s="639">
        <f>industrie!L18</f>
        <v>0</v>
      </c>
      <c r="N13" s="639">
        <f>industrie!M18</f>
        <v>0</v>
      </c>
      <c r="O13" s="639">
        <f>industrie!N18</f>
        <v>14347.969417705302</v>
      </c>
      <c r="P13" s="639">
        <f>industrie!O18</f>
        <v>0</v>
      </c>
      <c r="Q13" s="640">
        <f>industrie!P18</f>
        <v>0</v>
      </c>
      <c r="R13" s="642">
        <f>SUM(C13:Q13)</f>
        <v>798938.36778606672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1520508.2270325758</v>
      </c>
      <c r="D16" s="672">
        <f t="shared" ref="D16:R16" ca="1" si="0">SUM(D9:D15)</f>
        <v>11314.285714285714</v>
      </c>
      <c r="E16" s="672">
        <f t="shared" ca="1" si="0"/>
        <v>2338985.3521566172</v>
      </c>
      <c r="F16" s="672">
        <f t="shared" si="0"/>
        <v>29468.497747606467</v>
      </c>
      <c r="G16" s="672">
        <f t="shared" ca="1" si="0"/>
        <v>822163.83902845299</v>
      </c>
      <c r="H16" s="672">
        <f t="shared" si="0"/>
        <v>0</v>
      </c>
      <c r="I16" s="672">
        <f t="shared" si="0"/>
        <v>0</v>
      </c>
      <c r="J16" s="672">
        <f t="shared" si="0"/>
        <v>0</v>
      </c>
      <c r="K16" s="672">
        <f t="shared" si="0"/>
        <v>11950.977191064349</v>
      </c>
      <c r="L16" s="672">
        <f t="shared" si="0"/>
        <v>0</v>
      </c>
      <c r="M16" s="672">
        <f t="shared" ca="1" si="0"/>
        <v>0</v>
      </c>
      <c r="N16" s="672">
        <f t="shared" si="0"/>
        <v>0</v>
      </c>
      <c r="O16" s="672">
        <f t="shared" ca="1" si="0"/>
        <v>197547.38048788277</v>
      </c>
      <c r="P16" s="672">
        <f t="shared" si="0"/>
        <v>902.04333333333329</v>
      </c>
      <c r="Q16" s="672">
        <f t="shared" si="0"/>
        <v>1677.8666666666666</v>
      </c>
      <c r="R16" s="672">
        <f t="shared" ca="1" si="0"/>
        <v>4934518.4693584861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8826.2193058499215</v>
      </c>
      <c r="D19" s="639">
        <f>transport!C54</f>
        <v>0</v>
      </c>
      <c r="E19" s="639">
        <f>transport!D54</f>
        <v>0</v>
      </c>
      <c r="F19" s="639">
        <f>transport!E54</f>
        <v>0</v>
      </c>
      <c r="G19" s="639">
        <f>transport!F54</f>
        <v>0</v>
      </c>
      <c r="H19" s="639">
        <f>transport!G54</f>
        <v>38919.451098043945</v>
      </c>
      <c r="I19" s="639">
        <f>transport!H54</f>
        <v>0</v>
      </c>
      <c r="J19" s="639">
        <f>transport!I54</f>
        <v>0</v>
      </c>
      <c r="K19" s="639">
        <f>transport!J54</f>
        <v>0</v>
      </c>
      <c r="L19" s="639">
        <f>transport!K54</f>
        <v>0</v>
      </c>
      <c r="M19" s="639">
        <f>transport!L54</f>
        <v>0</v>
      </c>
      <c r="N19" s="639">
        <f>transport!M54</f>
        <v>1720.1982876474849</v>
      </c>
      <c r="O19" s="639">
        <f>transport!N54</f>
        <v>0</v>
      </c>
      <c r="P19" s="639">
        <f>transport!O54</f>
        <v>0</v>
      </c>
      <c r="Q19" s="640">
        <f>transport!P54</f>
        <v>0</v>
      </c>
      <c r="R19" s="642">
        <f>SUM(C19:Q19)</f>
        <v>49465.868691541349</v>
      </c>
      <c r="S19" s="68"/>
    </row>
    <row r="20" spans="1:19" s="443" customFormat="1">
      <c r="A20" s="753" t="s">
        <v>296</v>
      </c>
      <c r="B20" s="758"/>
      <c r="C20" s="639">
        <f>transport!B14</f>
        <v>81.070944347594491</v>
      </c>
      <c r="D20" s="639">
        <f>transport!C14</f>
        <v>0</v>
      </c>
      <c r="E20" s="639">
        <f>transport!D14</f>
        <v>98.272304908847261</v>
      </c>
      <c r="F20" s="639">
        <f>transport!E14</f>
        <v>6916.0288235814951</v>
      </c>
      <c r="G20" s="639">
        <f>transport!F14</f>
        <v>0</v>
      </c>
      <c r="H20" s="639">
        <f>transport!G14</f>
        <v>1752290.6510822929</v>
      </c>
      <c r="I20" s="639">
        <f>transport!H14</f>
        <v>255973.52957971217</v>
      </c>
      <c r="J20" s="639">
        <f>transport!I14</f>
        <v>0</v>
      </c>
      <c r="K20" s="639">
        <f>transport!J14</f>
        <v>0</v>
      </c>
      <c r="L20" s="639">
        <f>transport!K14</f>
        <v>0</v>
      </c>
      <c r="M20" s="639">
        <f>transport!L14</f>
        <v>0</v>
      </c>
      <c r="N20" s="639">
        <f>transport!M14</f>
        <v>89694.268411492769</v>
      </c>
      <c r="O20" s="639">
        <f>transport!N14</f>
        <v>0</v>
      </c>
      <c r="P20" s="639">
        <f>transport!O14</f>
        <v>0</v>
      </c>
      <c r="Q20" s="640">
        <f>transport!P14</f>
        <v>0</v>
      </c>
      <c r="R20" s="642">
        <f>SUM(C20:Q20)</f>
        <v>2105053.8211463359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8907.2902501975168</v>
      </c>
      <c r="D22" s="756">
        <f t="shared" ref="D22:R22" si="1">SUM(D18:D21)</f>
        <v>0</v>
      </c>
      <c r="E22" s="756">
        <f t="shared" si="1"/>
        <v>98.272304908847261</v>
      </c>
      <c r="F22" s="756">
        <f t="shared" si="1"/>
        <v>6916.0288235814951</v>
      </c>
      <c r="G22" s="756">
        <f t="shared" si="1"/>
        <v>0</v>
      </c>
      <c r="H22" s="756">
        <f t="shared" si="1"/>
        <v>1791210.1021803368</v>
      </c>
      <c r="I22" s="756">
        <f t="shared" si="1"/>
        <v>255973.52957971217</v>
      </c>
      <c r="J22" s="756">
        <f t="shared" si="1"/>
        <v>0</v>
      </c>
      <c r="K22" s="756">
        <f t="shared" si="1"/>
        <v>0</v>
      </c>
      <c r="L22" s="756">
        <f t="shared" si="1"/>
        <v>0</v>
      </c>
      <c r="M22" s="756">
        <f t="shared" si="1"/>
        <v>0</v>
      </c>
      <c r="N22" s="756">
        <f t="shared" si="1"/>
        <v>91414.466699140248</v>
      </c>
      <c r="O22" s="756">
        <f t="shared" si="1"/>
        <v>0</v>
      </c>
      <c r="P22" s="756">
        <f t="shared" si="1"/>
        <v>0</v>
      </c>
      <c r="Q22" s="756">
        <f t="shared" si="1"/>
        <v>0</v>
      </c>
      <c r="R22" s="756">
        <f t="shared" si="1"/>
        <v>2154519.6898378772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3010.8796630802976</v>
      </c>
      <c r="D24" s="639">
        <f>+landbouw!C8</f>
        <v>977.78571428571433</v>
      </c>
      <c r="E24" s="639">
        <f>+landbouw!D8</f>
        <v>3330.6901408854023</v>
      </c>
      <c r="F24" s="639">
        <f>+landbouw!E8</f>
        <v>29.732984678326947</v>
      </c>
      <c r="G24" s="639">
        <f>+landbouw!F8</f>
        <v>10045.091228679803</v>
      </c>
      <c r="H24" s="639">
        <f>+landbouw!G8</f>
        <v>0</v>
      </c>
      <c r="I24" s="639">
        <f>+landbouw!H8</f>
        <v>0</v>
      </c>
      <c r="J24" s="639">
        <f>+landbouw!I8</f>
        <v>0</v>
      </c>
      <c r="K24" s="639">
        <f>+landbouw!J8</f>
        <v>300.39440369364667</v>
      </c>
      <c r="L24" s="639">
        <f>+landbouw!K8</f>
        <v>0</v>
      </c>
      <c r="M24" s="639">
        <f>+landbouw!L8</f>
        <v>0</v>
      </c>
      <c r="N24" s="639">
        <f>+landbouw!M8</f>
        <v>0</v>
      </c>
      <c r="O24" s="639">
        <f>+landbouw!N8</f>
        <v>0</v>
      </c>
      <c r="P24" s="639">
        <f>+landbouw!O8</f>
        <v>0</v>
      </c>
      <c r="Q24" s="640">
        <f>+landbouw!P8</f>
        <v>0</v>
      </c>
      <c r="R24" s="642">
        <f>SUM(C24:Q24)</f>
        <v>17694.574135303192</v>
      </c>
      <c r="S24" s="68"/>
    </row>
    <row r="25" spans="1:19" s="443" customFormat="1" ht="15" thickBot="1">
      <c r="A25" s="775" t="s">
        <v>847</v>
      </c>
      <c r="B25" s="941"/>
      <c r="C25" s="942">
        <f>IF(Onbekend_ele_kWh="---",0,Onbekend_ele_kWh)/1000+IF(REST_rest_ele_kWh="---",0,REST_rest_ele_kWh)/1000</f>
        <v>20976.757417396901</v>
      </c>
      <c r="D25" s="942"/>
      <c r="E25" s="942">
        <f>IF(onbekend_gas_kWh="---",0,onbekend_gas_kWh)/1000+IF(REST_rest_gas_kWh="---",0,REST_rest_gas_kWh)/1000</f>
        <v>73672.805431769899</v>
      </c>
      <c r="F25" s="942"/>
      <c r="G25" s="942"/>
      <c r="H25" s="942"/>
      <c r="I25" s="942"/>
      <c r="J25" s="942"/>
      <c r="K25" s="942"/>
      <c r="L25" s="942"/>
      <c r="M25" s="942"/>
      <c r="N25" s="942"/>
      <c r="O25" s="942"/>
      <c r="P25" s="942"/>
      <c r="Q25" s="943"/>
      <c r="R25" s="642">
        <f>SUM(C25:Q25)</f>
        <v>94649.562849166803</v>
      </c>
      <c r="S25" s="68"/>
    </row>
    <row r="26" spans="1:19" s="443" customFormat="1" ht="15.75" thickBot="1">
      <c r="A26" s="645" t="s">
        <v>848</v>
      </c>
      <c r="B26" s="761"/>
      <c r="C26" s="756">
        <f>SUM(C24:C25)</f>
        <v>23987.637080477198</v>
      </c>
      <c r="D26" s="756">
        <f t="shared" ref="D26:R26" si="2">SUM(D24:D25)</f>
        <v>977.78571428571433</v>
      </c>
      <c r="E26" s="756">
        <f t="shared" si="2"/>
        <v>77003.495572655302</v>
      </c>
      <c r="F26" s="756">
        <f t="shared" si="2"/>
        <v>29.732984678326947</v>
      </c>
      <c r="G26" s="756">
        <f t="shared" si="2"/>
        <v>10045.091228679803</v>
      </c>
      <c r="H26" s="756">
        <f t="shared" si="2"/>
        <v>0</v>
      </c>
      <c r="I26" s="756">
        <f t="shared" si="2"/>
        <v>0</v>
      </c>
      <c r="J26" s="756">
        <f t="shared" si="2"/>
        <v>0</v>
      </c>
      <c r="K26" s="756">
        <f t="shared" si="2"/>
        <v>300.39440369364667</v>
      </c>
      <c r="L26" s="756">
        <f t="shared" si="2"/>
        <v>0</v>
      </c>
      <c r="M26" s="756">
        <f t="shared" si="2"/>
        <v>0</v>
      </c>
      <c r="N26" s="756">
        <f t="shared" si="2"/>
        <v>0</v>
      </c>
      <c r="O26" s="756">
        <f t="shared" si="2"/>
        <v>0</v>
      </c>
      <c r="P26" s="756">
        <f t="shared" si="2"/>
        <v>0</v>
      </c>
      <c r="Q26" s="756">
        <f t="shared" si="2"/>
        <v>0</v>
      </c>
      <c r="R26" s="756">
        <f t="shared" si="2"/>
        <v>112344.13698446999</v>
      </c>
      <c r="S26" s="68"/>
    </row>
    <row r="27" spans="1:19" s="443" customFormat="1" ht="17.25" thickTop="1" thickBot="1">
      <c r="A27" s="646" t="s">
        <v>109</v>
      </c>
      <c r="B27" s="748"/>
      <c r="C27" s="647">
        <f ca="1">C22+C16+C26</f>
        <v>1553403.1543632504</v>
      </c>
      <c r="D27" s="647">
        <f t="shared" ref="D27:R27" ca="1" si="3">D22+D16+D26</f>
        <v>12292.071428571428</v>
      </c>
      <c r="E27" s="647">
        <f t="shared" ca="1" si="3"/>
        <v>2416087.1200341815</v>
      </c>
      <c r="F27" s="647">
        <f t="shared" si="3"/>
        <v>36414.259555866287</v>
      </c>
      <c r="G27" s="647">
        <f t="shared" ca="1" si="3"/>
        <v>832208.93025713274</v>
      </c>
      <c r="H27" s="647">
        <f t="shared" si="3"/>
        <v>1791210.1021803368</v>
      </c>
      <c r="I27" s="647">
        <f t="shared" si="3"/>
        <v>255973.52957971217</v>
      </c>
      <c r="J27" s="647">
        <f t="shared" si="3"/>
        <v>0</v>
      </c>
      <c r="K27" s="647">
        <f t="shared" si="3"/>
        <v>12251.371594757995</v>
      </c>
      <c r="L27" s="647">
        <f t="shared" si="3"/>
        <v>0</v>
      </c>
      <c r="M27" s="647">
        <f t="shared" ca="1" si="3"/>
        <v>0</v>
      </c>
      <c r="N27" s="647">
        <f t="shared" si="3"/>
        <v>91414.466699140248</v>
      </c>
      <c r="O27" s="647">
        <f t="shared" ca="1" si="3"/>
        <v>197547.38048788277</v>
      </c>
      <c r="P27" s="647">
        <f t="shared" si="3"/>
        <v>902.04333333333329</v>
      </c>
      <c r="Q27" s="647">
        <f t="shared" si="3"/>
        <v>1677.8666666666666</v>
      </c>
      <c r="R27" s="647">
        <f t="shared" ca="1" si="3"/>
        <v>7201382.2961808341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149353.48512618718</v>
      </c>
      <c r="D40" s="639">
        <f ca="1">tertiair!C20</f>
        <v>16.088300694417541</v>
      </c>
      <c r="E40" s="639">
        <f ca="1">tertiair!D20</f>
        <v>176941.18860187949</v>
      </c>
      <c r="F40" s="639">
        <f>tertiair!E20</f>
        <v>1437.7775186375211</v>
      </c>
      <c r="G40" s="639">
        <f ca="1">tertiair!F20</f>
        <v>43892.197497124718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371640.73704452335</v>
      </c>
    </row>
    <row r="41" spans="1:18">
      <c r="A41" s="766" t="s">
        <v>214</v>
      </c>
      <c r="B41" s="773"/>
      <c r="C41" s="639">
        <f ca="1">huishoudens!B12</f>
        <v>81136.927915277236</v>
      </c>
      <c r="D41" s="639">
        <f ca="1">huishoudens!C12</f>
        <v>0</v>
      </c>
      <c r="E41" s="639">
        <f>huishoudens!D12</f>
        <v>238025.23713058812</v>
      </c>
      <c r="F41" s="639">
        <f>huishoudens!E12</f>
        <v>4206.2267748181994</v>
      </c>
      <c r="G41" s="639">
        <f>huishoudens!F12</f>
        <v>150832.23142023225</v>
      </c>
      <c r="H41" s="639">
        <f>huishoudens!G12</f>
        <v>0</v>
      </c>
      <c r="I41" s="639">
        <f>huishoudens!H12</f>
        <v>0</v>
      </c>
      <c r="J41" s="639">
        <f>huishoudens!I12</f>
        <v>0</v>
      </c>
      <c r="K41" s="639">
        <f>huishoudens!J12</f>
        <v>3628.5640146784167</v>
      </c>
      <c r="L41" s="639">
        <f>huishoudens!K12</f>
        <v>0</v>
      </c>
      <c r="M41" s="639">
        <f>huishoudens!L12</f>
        <v>0</v>
      </c>
      <c r="N41" s="639">
        <f>huishoudens!M12</f>
        <v>0</v>
      </c>
      <c r="O41" s="639">
        <f>huishoudens!N12</f>
        <v>0</v>
      </c>
      <c r="P41" s="639">
        <f>huishoudens!O12</f>
        <v>0</v>
      </c>
      <c r="Q41" s="714">
        <f>huishoudens!P12</f>
        <v>0</v>
      </c>
      <c r="R41" s="794">
        <f t="shared" ca="1" si="4"/>
        <v>477829.18725559424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79402.208712212305</v>
      </c>
      <c r="D43" s="639">
        <f ca="1">industrie!C22</f>
        <v>1013.5629437483047</v>
      </c>
      <c r="E43" s="639">
        <f>industrie!D22</f>
        <v>57508.615403169089</v>
      </c>
      <c r="F43" s="639">
        <f>industrie!E22</f>
        <v>1045.3446952509473</v>
      </c>
      <c r="G43" s="639">
        <f>industrie!F22</f>
        <v>24793.316103239995</v>
      </c>
      <c r="H43" s="639">
        <f>industrie!G22</f>
        <v>0</v>
      </c>
      <c r="I43" s="639">
        <f>industrie!H22</f>
        <v>0</v>
      </c>
      <c r="J43" s="639">
        <f>industrie!I22</f>
        <v>0</v>
      </c>
      <c r="K43" s="639">
        <f>industrie!J22</f>
        <v>602.08191095836253</v>
      </c>
      <c r="L43" s="639">
        <f>industrie!K22</f>
        <v>0</v>
      </c>
      <c r="M43" s="639">
        <f>industrie!L22</f>
        <v>0</v>
      </c>
      <c r="N43" s="639">
        <f>industrie!M22</f>
        <v>0</v>
      </c>
      <c r="O43" s="639">
        <f>industrie!N22</f>
        <v>0</v>
      </c>
      <c r="P43" s="639">
        <f>industrie!O22</f>
        <v>0</v>
      </c>
      <c r="Q43" s="714">
        <f>industrie!P22</f>
        <v>0</v>
      </c>
      <c r="R43" s="793">
        <f t="shared" ca="1" si="4"/>
        <v>164365.12976857901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309892.62175367668</v>
      </c>
      <c r="D46" s="672">
        <f t="shared" ref="D46:Q46" ca="1" si="5">SUM(D39:D45)</f>
        <v>1029.6512444427224</v>
      </c>
      <c r="E46" s="672">
        <f t="shared" ca="1" si="5"/>
        <v>472475.04113563668</v>
      </c>
      <c r="F46" s="672">
        <f t="shared" si="5"/>
        <v>6689.348988706668</v>
      </c>
      <c r="G46" s="672">
        <f t="shared" ca="1" si="5"/>
        <v>219517.74502059695</v>
      </c>
      <c r="H46" s="672">
        <f t="shared" si="5"/>
        <v>0</v>
      </c>
      <c r="I46" s="672">
        <f t="shared" si="5"/>
        <v>0</v>
      </c>
      <c r="J46" s="672">
        <f t="shared" si="5"/>
        <v>0</v>
      </c>
      <c r="K46" s="672">
        <f t="shared" si="5"/>
        <v>4230.6459256367789</v>
      </c>
      <c r="L46" s="672">
        <f t="shared" si="5"/>
        <v>0</v>
      </c>
      <c r="M46" s="672">
        <f t="shared" ca="1" si="5"/>
        <v>0</v>
      </c>
      <c r="N46" s="672">
        <f t="shared" si="5"/>
        <v>0</v>
      </c>
      <c r="O46" s="672">
        <f t="shared" ca="1" si="5"/>
        <v>0</v>
      </c>
      <c r="P46" s="672">
        <f t="shared" si="5"/>
        <v>0</v>
      </c>
      <c r="Q46" s="672">
        <f t="shared" si="5"/>
        <v>0</v>
      </c>
      <c r="R46" s="672">
        <f ca="1">SUM(R39:R45)</f>
        <v>1013835.0540686967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1798.8592184079976</v>
      </c>
      <c r="D49" s="639">
        <f ca="1">transport!C58</f>
        <v>0</v>
      </c>
      <c r="E49" s="639">
        <f>transport!D58</f>
        <v>0</v>
      </c>
      <c r="F49" s="639">
        <f>transport!E58</f>
        <v>0</v>
      </c>
      <c r="G49" s="639">
        <f>transport!F58</f>
        <v>0</v>
      </c>
      <c r="H49" s="639">
        <f>transport!G58</f>
        <v>10391.493443177735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12190.352661585732</v>
      </c>
    </row>
    <row r="50" spans="1:18">
      <c r="A50" s="769" t="s">
        <v>296</v>
      </c>
      <c r="B50" s="779"/>
      <c r="C50" s="948">
        <f ca="1">transport!B18</f>
        <v>16.522954000027408</v>
      </c>
      <c r="D50" s="948">
        <f>transport!C18</f>
        <v>0</v>
      </c>
      <c r="E50" s="948">
        <f>transport!D18</f>
        <v>19.851005591587146</v>
      </c>
      <c r="F50" s="948">
        <f>transport!E18</f>
        <v>1569.9385429529993</v>
      </c>
      <c r="G50" s="948">
        <f>transport!F18</f>
        <v>0</v>
      </c>
      <c r="H50" s="948">
        <f>transport!G18</f>
        <v>467861.60383897222</v>
      </c>
      <c r="I50" s="948">
        <f>transport!H18</f>
        <v>63737.408865348327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533205.32520686521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1815.3821724080249</v>
      </c>
      <c r="D52" s="672">
        <f t="shared" ref="D52:Q52" ca="1" si="6">SUM(D48:D51)</f>
        <v>0</v>
      </c>
      <c r="E52" s="672">
        <f t="shared" si="6"/>
        <v>19.851005591587146</v>
      </c>
      <c r="F52" s="672">
        <f t="shared" si="6"/>
        <v>1569.9385429529993</v>
      </c>
      <c r="G52" s="672">
        <f t="shared" si="6"/>
        <v>0</v>
      </c>
      <c r="H52" s="672">
        <f t="shared" si="6"/>
        <v>478253.09728214995</v>
      </c>
      <c r="I52" s="672">
        <f t="shared" si="6"/>
        <v>63737.408865348327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545395.67786845099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613.6431069483391</v>
      </c>
      <c r="D54" s="948">
        <f ca="1">+landbouw!C12</f>
        <v>88.982928568032989</v>
      </c>
      <c r="E54" s="948">
        <f>+landbouw!D12</f>
        <v>672.7994084588513</v>
      </c>
      <c r="F54" s="948">
        <f>+landbouw!E12</f>
        <v>6.7493875219802169</v>
      </c>
      <c r="G54" s="948">
        <f>+landbouw!F12</f>
        <v>2682.0393580575073</v>
      </c>
      <c r="H54" s="948">
        <f>+landbouw!G12</f>
        <v>0</v>
      </c>
      <c r="I54" s="948">
        <f>+landbouw!H12</f>
        <v>0</v>
      </c>
      <c r="J54" s="948">
        <f>+landbouw!I12</f>
        <v>0</v>
      </c>
      <c r="K54" s="948">
        <f>+landbouw!J12</f>
        <v>106.33961890755091</v>
      </c>
      <c r="L54" s="948">
        <f>+landbouw!K12</f>
        <v>0</v>
      </c>
      <c r="M54" s="948">
        <f>+landbouw!L12</f>
        <v>0</v>
      </c>
      <c r="N54" s="948">
        <f>+landbouw!M12</f>
        <v>0</v>
      </c>
      <c r="O54" s="948">
        <f>+landbouw!N12</f>
        <v>0</v>
      </c>
      <c r="P54" s="948">
        <f>+landbouw!O12</f>
        <v>0</v>
      </c>
      <c r="Q54" s="949">
        <f>+landbouw!P12</f>
        <v>0</v>
      </c>
      <c r="R54" s="671">
        <f ca="1">SUM(C54:Q54)</f>
        <v>4170.5538084622622</v>
      </c>
    </row>
    <row r="55" spans="1:18" ht="15" thickBot="1">
      <c r="A55" s="769" t="s">
        <v>847</v>
      </c>
      <c r="B55" s="779"/>
      <c r="C55" s="948">
        <f ca="1">C25*'EF ele_warmte'!B12</f>
        <v>4275.2431301568631</v>
      </c>
      <c r="D55" s="948"/>
      <c r="E55" s="948">
        <f>E25*EF_CO2_aardgas</f>
        <v>14881.906697217521</v>
      </c>
      <c r="F55" s="948"/>
      <c r="G55" s="948"/>
      <c r="H55" s="948"/>
      <c r="I55" s="948"/>
      <c r="J55" s="948"/>
      <c r="K55" s="948"/>
      <c r="L55" s="948"/>
      <c r="M55" s="948"/>
      <c r="N55" s="948"/>
      <c r="O55" s="948"/>
      <c r="P55" s="948"/>
      <c r="Q55" s="949"/>
      <c r="R55" s="671">
        <f ca="1">SUM(C55:Q55)</f>
        <v>19157.149827374385</v>
      </c>
    </row>
    <row r="56" spans="1:18" ht="15.75" thickBot="1">
      <c r="A56" s="767" t="s">
        <v>848</v>
      </c>
      <c r="B56" s="780"/>
      <c r="C56" s="672">
        <f ca="1">SUM(C54:C55)</f>
        <v>4888.8862371052019</v>
      </c>
      <c r="D56" s="672">
        <f t="shared" ref="D56:Q56" ca="1" si="7">SUM(D54:D55)</f>
        <v>88.982928568032989</v>
      </c>
      <c r="E56" s="672">
        <f t="shared" si="7"/>
        <v>15554.706105676372</v>
      </c>
      <c r="F56" s="672">
        <f t="shared" si="7"/>
        <v>6.7493875219802169</v>
      </c>
      <c r="G56" s="672">
        <f t="shared" si="7"/>
        <v>2682.0393580575073</v>
      </c>
      <c r="H56" s="672">
        <f t="shared" si="7"/>
        <v>0</v>
      </c>
      <c r="I56" s="672">
        <f t="shared" si="7"/>
        <v>0</v>
      </c>
      <c r="J56" s="672">
        <f t="shared" si="7"/>
        <v>0</v>
      </c>
      <c r="K56" s="672">
        <f t="shared" si="7"/>
        <v>106.33961890755091</v>
      </c>
      <c r="L56" s="672">
        <f t="shared" si="7"/>
        <v>0</v>
      </c>
      <c r="M56" s="672">
        <f t="shared" si="7"/>
        <v>0</v>
      </c>
      <c r="N56" s="672">
        <f t="shared" si="7"/>
        <v>0</v>
      </c>
      <c r="O56" s="672">
        <f t="shared" si="7"/>
        <v>0</v>
      </c>
      <c r="P56" s="672">
        <f t="shared" si="7"/>
        <v>0</v>
      </c>
      <c r="Q56" s="673">
        <f t="shared" si="7"/>
        <v>0</v>
      </c>
      <c r="R56" s="674">
        <f ca="1">SUM(R54:R55)</f>
        <v>23327.703635836646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316596.89016318991</v>
      </c>
      <c r="D61" s="680">
        <f t="shared" ref="D61:Q61" ca="1" si="8">D46+D52+D56</f>
        <v>1118.6341730107554</v>
      </c>
      <c r="E61" s="680">
        <f t="shared" ca="1" si="8"/>
        <v>488049.59824690461</v>
      </c>
      <c r="F61" s="680">
        <f t="shared" si="8"/>
        <v>8266.036919181648</v>
      </c>
      <c r="G61" s="680">
        <f t="shared" ca="1" si="8"/>
        <v>222199.78437865447</v>
      </c>
      <c r="H61" s="680">
        <f t="shared" si="8"/>
        <v>478253.09728214995</v>
      </c>
      <c r="I61" s="680">
        <f t="shared" si="8"/>
        <v>63737.408865348327</v>
      </c>
      <c r="J61" s="680">
        <f t="shared" si="8"/>
        <v>0</v>
      </c>
      <c r="K61" s="680">
        <f t="shared" si="8"/>
        <v>4336.98554454433</v>
      </c>
      <c r="L61" s="680">
        <f t="shared" si="8"/>
        <v>0</v>
      </c>
      <c r="M61" s="680">
        <f t="shared" ca="1" si="8"/>
        <v>0</v>
      </c>
      <c r="N61" s="680">
        <f t="shared" si="8"/>
        <v>0</v>
      </c>
      <c r="O61" s="680">
        <f t="shared" ca="1" si="8"/>
        <v>0</v>
      </c>
      <c r="P61" s="680">
        <f t="shared" si="8"/>
        <v>0</v>
      </c>
      <c r="Q61" s="680">
        <f t="shared" si="8"/>
        <v>0</v>
      </c>
      <c r="R61" s="680">
        <f ca="1">R46+R52+R56</f>
        <v>1582558.4355729844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0.20380857942377809</v>
      </c>
      <c r="D63" s="724">
        <f t="shared" ca="1" si="9"/>
        <v>9.100452918054365E-2</v>
      </c>
      <c r="E63" s="950">
        <f t="shared" ca="1" si="9"/>
        <v>0.20199999999999999</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69777.959571853862</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42909.47662500669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7387.9185359650101</v>
      </c>
      <c r="C76" s="690">
        <f>'lokale energieproductie'!B8*IFERROR(SUM(D76:H76)/SUM(D76:O76),0)</f>
        <v>3309.0314640349907</v>
      </c>
      <c r="D76" s="960">
        <f>'lokale energieproductie'!C8</f>
        <v>1013.6378174923871</v>
      </c>
      <c r="E76" s="961">
        <f>'lokale energieproductie'!D8</f>
        <v>0</v>
      </c>
      <c r="F76" s="961">
        <f>'lokale energieproductie'!E8</f>
        <v>2879.0863643608768</v>
      </c>
      <c r="G76" s="961">
        <f>'lokale energieproductie'!F8</f>
        <v>0</v>
      </c>
      <c r="H76" s="961">
        <f>'lokale energieproductie'!G8</f>
        <v>0</v>
      </c>
      <c r="I76" s="961">
        <f>'lokale energieproductie'!I8</f>
        <v>8691.1017471693795</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973.47089841781644</v>
      </c>
      <c r="R76" s="796">
        <v>0</v>
      </c>
    </row>
    <row r="77" spans="1:18" ht="30.75" thickBot="1">
      <c r="A77" s="693" t="s">
        <v>340</v>
      </c>
      <c r="B77" s="690">
        <f>'lokale energieproductie'!B9*IFERROR(SUM(I77:O77)/SUM(D77:O77),0)</f>
        <v>1858.5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5310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121933.85473282557</v>
      </c>
      <c r="C78" s="695">
        <f>SUM(C72:C77)</f>
        <v>3309.0314640349907</v>
      </c>
      <c r="D78" s="696">
        <f t="shared" ref="D78:H78" si="10">SUM(D76:D77)</f>
        <v>1013.6378174923871</v>
      </c>
      <c r="E78" s="696">
        <f t="shared" si="10"/>
        <v>0</v>
      </c>
      <c r="F78" s="696">
        <f t="shared" si="10"/>
        <v>2879.0863643608768</v>
      </c>
      <c r="G78" s="696">
        <f t="shared" si="10"/>
        <v>0</v>
      </c>
      <c r="H78" s="696">
        <f t="shared" si="10"/>
        <v>0</v>
      </c>
      <c r="I78" s="696">
        <f>SUM(I76:I77)</f>
        <v>8691.1017471693795</v>
      </c>
      <c r="J78" s="696">
        <f>SUM(J76:J77)</f>
        <v>5310</v>
      </c>
      <c r="K78" s="696">
        <f t="shared" ref="K78:L78" si="11">SUM(K76:K77)</f>
        <v>0</v>
      </c>
      <c r="L78" s="696">
        <f t="shared" si="11"/>
        <v>0</v>
      </c>
      <c r="M78" s="696">
        <f>SUM(M76:M77)</f>
        <v>0</v>
      </c>
      <c r="N78" s="696">
        <f>SUM(N76:N77)</f>
        <v>0</v>
      </c>
      <c r="O78" s="804">
        <f>SUM(O76:O77)</f>
        <v>0</v>
      </c>
      <c r="P78" s="697">
        <v>0</v>
      </c>
      <c r="Q78" s="697">
        <f>SUM(Q76:Q77)</f>
        <v>973.47089841781644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8489.5995917106047</v>
      </c>
      <c r="C87" s="706">
        <f>'lokale energieproductie'!B17*IFERROR(SUM(D87:H87)/SUM(D87:O87),0)</f>
        <v>3802.4718368608233</v>
      </c>
      <c r="D87" s="717">
        <f>'lokale energieproductie'!C17</f>
        <v>1164.7907539361845</v>
      </c>
      <c r="E87" s="717">
        <f>'lokale energieproductie'!D17</f>
        <v>0</v>
      </c>
      <c r="F87" s="717">
        <f>'lokale energieproductie'!E17</f>
        <v>3308.4136356391227</v>
      </c>
      <c r="G87" s="717">
        <f>'lokale energieproductie'!F17</f>
        <v>0</v>
      </c>
      <c r="H87" s="717">
        <f>'lokale energieproductie'!G17</f>
        <v>0</v>
      </c>
      <c r="I87" s="717">
        <f>'lokale energieproductie'!I17</f>
        <v>9987.112538544905</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1118.6341730107551</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8489.5995917106047</v>
      </c>
      <c r="C90" s="695">
        <f>SUM(C87:C89)</f>
        <v>3802.4718368608233</v>
      </c>
      <c r="D90" s="695">
        <f t="shared" ref="D90:H90" si="12">SUM(D87:D89)</f>
        <v>1164.7907539361845</v>
      </c>
      <c r="E90" s="695">
        <f t="shared" si="12"/>
        <v>0</v>
      </c>
      <c r="F90" s="695">
        <f t="shared" si="12"/>
        <v>3308.4136356391227</v>
      </c>
      <c r="G90" s="695">
        <f t="shared" si="12"/>
        <v>0</v>
      </c>
      <c r="H90" s="695">
        <f t="shared" si="12"/>
        <v>0</v>
      </c>
      <c r="I90" s="695">
        <f>SUM(I87:I89)</f>
        <v>9987.112538544905</v>
      </c>
      <c r="J90" s="695">
        <f>SUM(J87:J89)</f>
        <v>0</v>
      </c>
      <c r="K90" s="695">
        <f t="shared" ref="K90:L90" si="13">SUM(K87:K89)</f>
        <v>0</v>
      </c>
      <c r="L90" s="695">
        <f t="shared" si="13"/>
        <v>0</v>
      </c>
      <c r="M90" s="695">
        <f>SUM(M87:M89)</f>
        <v>0</v>
      </c>
      <c r="N90" s="695">
        <f>SUM(N87:N89)</f>
        <v>0</v>
      </c>
      <c r="O90" s="695">
        <f>SUM(O87:O89)</f>
        <v>0</v>
      </c>
      <c r="P90" s="695">
        <v>0</v>
      </c>
      <c r="Q90" s="695">
        <f>SUM(Q87:Q89)</f>
        <v>1118.6341730107551</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398103.59379704838</v>
      </c>
      <c r="C4" s="447">
        <f>huishoudens!C8</f>
        <v>0</v>
      </c>
      <c r="D4" s="447">
        <f>huishoudens!D8</f>
        <v>1178342.7580722184</v>
      </c>
      <c r="E4" s="447">
        <f>huishoudens!E8</f>
        <v>18529.633369243169</v>
      </c>
      <c r="F4" s="447">
        <f>huishoudens!F8</f>
        <v>564914.7244203455</v>
      </c>
      <c r="G4" s="447">
        <f>huishoudens!G8</f>
        <v>0</v>
      </c>
      <c r="H4" s="447">
        <f>huishoudens!H8</f>
        <v>0</v>
      </c>
      <c r="I4" s="447">
        <f>huishoudens!I8</f>
        <v>0</v>
      </c>
      <c r="J4" s="447">
        <f>huishoudens!J8</f>
        <v>10250.180832424907</v>
      </c>
      <c r="K4" s="447">
        <f>huishoudens!K8</f>
        <v>0</v>
      </c>
      <c r="L4" s="447">
        <f>huishoudens!L8</f>
        <v>0</v>
      </c>
      <c r="M4" s="447">
        <f>huishoudens!M8</f>
        <v>0</v>
      </c>
      <c r="N4" s="447">
        <f>huishoudens!N8</f>
        <v>163211.73882280427</v>
      </c>
      <c r="O4" s="447">
        <f>huishoudens!O8</f>
        <v>880.15666666666664</v>
      </c>
      <c r="P4" s="448">
        <f>huishoudens!P8</f>
        <v>1449.0666666666666</v>
      </c>
      <c r="Q4" s="449">
        <f>SUM(B4:P4)</f>
        <v>2335681.8526474186</v>
      </c>
    </row>
    <row r="5" spans="1:17">
      <c r="A5" s="446" t="s">
        <v>149</v>
      </c>
      <c r="B5" s="447">
        <f ca="1">tertiair!B16</f>
        <v>717310.69060332223</v>
      </c>
      <c r="C5" s="447">
        <f ca="1">tertiair!C16</f>
        <v>176.78571428571433</v>
      </c>
      <c r="D5" s="447">
        <f ca="1">tertiair!D16</f>
        <v>875946.47822712618</v>
      </c>
      <c r="E5" s="447">
        <f>tertiair!E16</f>
        <v>6333.8216680067007</v>
      </c>
      <c r="F5" s="447">
        <f ca="1">tertiair!F16</f>
        <v>164390.25279821991</v>
      </c>
      <c r="G5" s="447">
        <f>tertiair!G16</f>
        <v>0</v>
      </c>
      <c r="H5" s="447">
        <f>tertiair!H16</f>
        <v>0</v>
      </c>
      <c r="I5" s="447">
        <f>tertiair!I16</f>
        <v>0</v>
      </c>
      <c r="J5" s="447">
        <f>tertiair!J16</f>
        <v>0</v>
      </c>
      <c r="K5" s="447">
        <f>tertiair!K16</f>
        <v>0</v>
      </c>
      <c r="L5" s="447">
        <f ca="1">tertiair!L16</f>
        <v>0</v>
      </c>
      <c r="M5" s="447">
        <f>tertiair!M16</f>
        <v>0</v>
      </c>
      <c r="N5" s="447">
        <f ca="1">tertiair!N16</f>
        <v>19987.672247373186</v>
      </c>
      <c r="O5" s="447">
        <f>tertiair!O16</f>
        <v>21.88666666666667</v>
      </c>
      <c r="P5" s="448">
        <f>tertiair!P16</f>
        <v>228.8</v>
      </c>
      <c r="Q5" s="446">
        <f t="shared" ref="Q5:Q14" ca="1" si="0">SUM(B5:P5)</f>
        <v>1784396.3879250009</v>
      </c>
    </row>
    <row r="6" spans="1:17">
      <c r="A6" s="446" t="s">
        <v>187</v>
      </c>
      <c r="B6" s="447">
        <f>'openbare verlichting'!B8</f>
        <v>15501.861000000001</v>
      </c>
      <c r="C6" s="447"/>
      <c r="D6" s="447"/>
      <c r="E6" s="447"/>
      <c r="F6" s="447"/>
      <c r="G6" s="447"/>
      <c r="H6" s="447"/>
      <c r="I6" s="447"/>
      <c r="J6" s="447"/>
      <c r="K6" s="447"/>
      <c r="L6" s="447"/>
      <c r="M6" s="447"/>
      <c r="N6" s="447"/>
      <c r="O6" s="447"/>
      <c r="P6" s="448"/>
      <c r="Q6" s="446">
        <f t="shared" si="0"/>
        <v>15501.861000000001</v>
      </c>
    </row>
    <row r="7" spans="1:17">
      <c r="A7" s="446" t="s">
        <v>105</v>
      </c>
      <c r="B7" s="447">
        <f>landbouw!B8</f>
        <v>3010.8796630802976</v>
      </c>
      <c r="C7" s="447">
        <f>landbouw!C8</f>
        <v>977.78571428571433</v>
      </c>
      <c r="D7" s="447">
        <f>landbouw!D8</f>
        <v>3330.6901408854023</v>
      </c>
      <c r="E7" s="447">
        <f>landbouw!E8</f>
        <v>29.732984678326947</v>
      </c>
      <c r="F7" s="447">
        <f>landbouw!F8</f>
        <v>10045.091228679803</v>
      </c>
      <c r="G7" s="447">
        <f>landbouw!G8</f>
        <v>0</v>
      </c>
      <c r="H7" s="447">
        <f>landbouw!H8</f>
        <v>0</v>
      </c>
      <c r="I7" s="447">
        <f>landbouw!I8</f>
        <v>0</v>
      </c>
      <c r="J7" s="447">
        <f>landbouw!J8</f>
        <v>300.39440369364667</v>
      </c>
      <c r="K7" s="447">
        <f>landbouw!K8</f>
        <v>0</v>
      </c>
      <c r="L7" s="447">
        <f>landbouw!L8</f>
        <v>0</v>
      </c>
      <c r="M7" s="447">
        <f>landbouw!M8</f>
        <v>0</v>
      </c>
      <c r="N7" s="447">
        <f>landbouw!N8</f>
        <v>0</v>
      </c>
      <c r="O7" s="447">
        <f>landbouw!O8</f>
        <v>0</v>
      </c>
      <c r="P7" s="448">
        <f>landbouw!P8</f>
        <v>0</v>
      </c>
      <c r="Q7" s="446">
        <f t="shared" si="0"/>
        <v>17694.574135303192</v>
      </c>
    </row>
    <row r="8" spans="1:17">
      <c r="A8" s="446" t="s">
        <v>640</v>
      </c>
      <c r="B8" s="447">
        <f>industrie!B18</f>
        <v>389592.08163220499</v>
      </c>
      <c r="C8" s="447">
        <f>industrie!C18</f>
        <v>11137.5</v>
      </c>
      <c r="D8" s="447">
        <f>industrie!D18</f>
        <v>284696.1158572727</v>
      </c>
      <c r="E8" s="447">
        <f>industrie!E18</f>
        <v>4605.0427103565962</v>
      </c>
      <c r="F8" s="447">
        <f>industrie!F18</f>
        <v>92858.861809887618</v>
      </c>
      <c r="G8" s="447">
        <f>industrie!G18</f>
        <v>0</v>
      </c>
      <c r="H8" s="447">
        <f>industrie!H18</f>
        <v>0</v>
      </c>
      <c r="I8" s="447">
        <f>industrie!I18</f>
        <v>0</v>
      </c>
      <c r="J8" s="447">
        <f>industrie!J18</f>
        <v>1700.7963586394421</v>
      </c>
      <c r="K8" s="447">
        <f>industrie!K18</f>
        <v>0</v>
      </c>
      <c r="L8" s="447">
        <f>industrie!L18</f>
        <v>0</v>
      </c>
      <c r="M8" s="447">
        <f>industrie!M18</f>
        <v>0</v>
      </c>
      <c r="N8" s="447">
        <f>industrie!N18</f>
        <v>14347.969417705302</v>
      </c>
      <c r="O8" s="447">
        <f>industrie!O18</f>
        <v>0</v>
      </c>
      <c r="P8" s="448">
        <f>industrie!P18</f>
        <v>0</v>
      </c>
      <c r="Q8" s="446">
        <f t="shared" si="0"/>
        <v>798938.36778606672</v>
      </c>
    </row>
    <row r="9" spans="1:17" s="452" customFormat="1">
      <c r="A9" s="450" t="s">
        <v>560</v>
      </c>
      <c r="B9" s="451">
        <f>transport!B14</f>
        <v>81.070944347594491</v>
      </c>
      <c r="C9" s="451">
        <f>transport!C14</f>
        <v>0</v>
      </c>
      <c r="D9" s="451">
        <f>transport!D14</f>
        <v>98.272304908847261</v>
      </c>
      <c r="E9" s="451">
        <f>transport!E14</f>
        <v>6916.0288235814951</v>
      </c>
      <c r="F9" s="451">
        <f>transport!F14</f>
        <v>0</v>
      </c>
      <c r="G9" s="451">
        <f>transport!G14</f>
        <v>1752290.6510822929</v>
      </c>
      <c r="H9" s="451">
        <f>transport!H14</f>
        <v>255973.52957971217</v>
      </c>
      <c r="I9" s="451">
        <f>transport!I14</f>
        <v>0</v>
      </c>
      <c r="J9" s="451">
        <f>transport!J14</f>
        <v>0</v>
      </c>
      <c r="K9" s="451">
        <f>transport!K14</f>
        <v>0</v>
      </c>
      <c r="L9" s="451">
        <f>transport!L14</f>
        <v>0</v>
      </c>
      <c r="M9" s="451">
        <f>transport!M14</f>
        <v>89694.268411492769</v>
      </c>
      <c r="N9" s="451">
        <f>transport!N14</f>
        <v>0</v>
      </c>
      <c r="O9" s="451">
        <f>transport!O14</f>
        <v>0</v>
      </c>
      <c r="P9" s="451">
        <f>transport!P14</f>
        <v>0</v>
      </c>
      <c r="Q9" s="450">
        <f>SUM(B9:P9)</f>
        <v>2105053.8211463359</v>
      </c>
    </row>
    <row r="10" spans="1:17">
      <c r="A10" s="446" t="s">
        <v>550</v>
      </c>
      <c r="B10" s="447">
        <f>transport!B54</f>
        <v>8826.2193058499215</v>
      </c>
      <c r="C10" s="447">
        <f>transport!C54</f>
        <v>0</v>
      </c>
      <c r="D10" s="447">
        <f>transport!D54</f>
        <v>0</v>
      </c>
      <c r="E10" s="447">
        <f>transport!E54</f>
        <v>0</v>
      </c>
      <c r="F10" s="447">
        <f>transport!F54</f>
        <v>0</v>
      </c>
      <c r="G10" s="447">
        <f>transport!G54</f>
        <v>38919.451098043945</v>
      </c>
      <c r="H10" s="447">
        <f>transport!H54</f>
        <v>0</v>
      </c>
      <c r="I10" s="447">
        <f>transport!I54</f>
        <v>0</v>
      </c>
      <c r="J10" s="447">
        <f>transport!J54</f>
        <v>0</v>
      </c>
      <c r="K10" s="447">
        <f>transport!K54</f>
        <v>0</v>
      </c>
      <c r="L10" s="447">
        <f>transport!L54</f>
        <v>0</v>
      </c>
      <c r="M10" s="447">
        <f>transport!M54</f>
        <v>1720.1982876474849</v>
      </c>
      <c r="N10" s="447">
        <f>transport!N54</f>
        <v>0</v>
      </c>
      <c r="O10" s="447">
        <f>transport!O54</f>
        <v>0</v>
      </c>
      <c r="P10" s="448">
        <f>transport!P54</f>
        <v>0</v>
      </c>
      <c r="Q10" s="446">
        <f t="shared" si="0"/>
        <v>49465.868691541349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20976.757417396901</v>
      </c>
      <c r="C14" s="454"/>
      <c r="D14" s="454">
        <f>'SEAP template'!E25</f>
        <v>73672.805431769899</v>
      </c>
      <c r="E14" s="454"/>
      <c r="F14" s="454"/>
      <c r="G14" s="454"/>
      <c r="H14" s="454"/>
      <c r="I14" s="454"/>
      <c r="J14" s="454"/>
      <c r="K14" s="454"/>
      <c r="L14" s="454"/>
      <c r="M14" s="454"/>
      <c r="N14" s="454"/>
      <c r="O14" s="454"/>
      <c r="P14" s="455"/>
      <c r="Q14" s="446">
        <f t="shared" si="0"/>
        <v>94649.562849166803</v>
      </c>
    </row>
    <row r="15" spans="1:17" s="459" customFormat="1">
      <c r="A15" s="456" t="s">
        <v>554</v>
      </c>
      <c r="B15" s="457">
        <f ca="1">SUM(B4:B14)</f>
        <v>1553403.1543632504</v>
      </c>
      <c r="C15" s="457">
        <f t="shared" ref="C15:Q15" ca="1" si="1">SUM(C4:C14)</f>
        <v>12292.071428571429</v>
      </c>
      <c r="D15" s="457">
        <f t="shared" ca="1" si="1"/>
        <v>2416087.120034181</v>
      </c>
      <c r="E15" s="457">
        <f t="shared" si="1"/>
        <v>36414.259555866287</v>
      </c>
      <c r="F15" s="457">
        <f t="shared" ca="1" si="1"/>
        <v>832208.93025713274</v>
      </c>
      <c r="G15" s="457">
        <f t="shared" si="1"/>
        <v>1791210.1021803368</v>
      </c>
      <c r="H15" s="457">
        <f t="shared" si="1"/>
        <v>255973.52957971217</v>
      </c>
      <c r="I15" s="457">
        <f t="shared" si="1"/>
        <v>0</v>
      </c>
      <c r="J15" s="457">
        <f t="shared" si="1"/>
        <v>12251.371594757995</v>
      </c>
      <c r="K15" s="457">
        <f t="shared" si="1"/>
        <v>0</v>
      </c>
      <c r="L15" s="457">
        <f t="shared" ca="1" si="1"/>
        <v>0</v>
      </c>
      <c r="M15" s="457">
        <f t="shared" si="1"/>
        <v>91414.466699140248</v>
      </c>
      <c r="N15" s="457">
        <f t="shared" ca="1" si="1"/>
        <v>197547.38048788277</v>
      </c>
      <c r="O15" s="457">
        <f t="shared" si="1"/>
        <v>902.04333333333329</v>
      </c>
      <c r="P15" s="457">
        <f t="shared" si="1"/>
        <v>1677.8666666666666</v>
      </c>
      <c r="Q15" s="457">
        <f t="shared" ca="1" si="1"/>
        <v>7201382.2961808341</v>
      </c>
    </row>
    <row r="17" spans="1:17">
      <c r="A17" s="460" t="s">
        <v>555</v>
      </c>
      <c r="B17" s="729">
        <f ca="1">huishoudens!B10</f>
        <v>0.20380857942377811</v>
      </c>
      <c r="C17" s="729">
        <f ca="1">huishoudens!C10</f>
        <v>9.1004529180543636E-2</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81136.927915277236</v>
      </c>
      <c r="C22" s="447">
        <f t="shared" ref="C22:C32" ca="1" si="3">C4*$C$17</f>
        <v>0</v>
      </c>
      <c r="D22" s="447">
        <f t="shared" ref="D22:D32" si="4">D4*$D$17</f>
        <v>238025.23713058812</v>
      </c>
      <c r="E22" s="447">
        <f t="shared" ref="E22:E32" si="5">E4*$E$17</f>
        <v>4206.2267748181994</v>
      </c>
      <c r="F22" s="447">
        <f t="shared" ref="F22:F32" si="6">F4*$F$17</f>
        <v>150832.23142023225</v>
      </c>
      <c r="G22" s="447">
        <f t="shared" ref="G22:G32" si="7">G4*$G$17</f>
        <v>0</v>
      </c>
      <c r="H22" s="447">
        <f t="shared" ref="H22:H32" si="8">H4*$H$17</f>
        <v>0</v>
      </c>
      <c r="I22" s="447">
        <f t="shared" ref="I22:I32" si="9">I4*$I$17</f>
        <v>0</v>
      </c>
      <c r="J22" s="447">
        <f t="shared" ref="J22:J32" si="10">J4*$J$17</f>
        <v>3628.5640146784167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477829.18725559424</v>
      </c>
    </row>
    <row r="23" spans="1:17">
      <c r="A23" s="446" t="s">
        <v>149</v>
      </c>
      <c r="B23" s="447">
        <f t="shared" ca="1" si="2"/>
        <v>146194.07285735232</v>
      </c>
      <c r="C23" s="447">
        <f t="shared" ca="1" si="3"/>
        <v>16.088300694417541</v>
      </c>
      <c r="D23" s="447">
        <f t="shared" ca="1" si="4"/>
        <v>176941.18860187949</v>
      </c>
      <c r="E23" s="447">
        <f t="shared" si="5"/>
        <v>1437.7775186375211</v>
      </c>
      <c r="F23" s="447">
        <f t="shared" ca="1" si="6"/>
        <v>43892.197497124718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368481.32477568847</v>
      </c>
    </row>
    <row r="24" spans="1:17">
      <c r="A24" s="446" t="s">
        <v>187</v>
      </c>
      <c r="B24" s="447">
        <f t="shared" ca="1" si="2"/>
        <v>3159.4122688348684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3159.4122688348684</v>
      </c>
    </row>
    <row r="25" spans="1:17">
      <c r="A25" s="446" t="s">
        <v>105</v>
      </c>
      <c r="B25" s="447">
        <f t="shared" ca="1" si="2"/>
        <v>613.6431069483391</v>
      </c>
      <c r="C25" s="447">
        <f t="shared" ca="1" si="3"/>
        <v>88.982928568032989</v>
      </c>
      <c r="D25" s="447">
        <f t="shared" si="4"/>
        <v>672.7994084588513</v>
      </c>
      <c r="E25" s="447">
        <f t="shared" si="5"/>
        <v>6.7493875219802169</v>
      </c>
      <c r="F25" s="447">
        <f t="shared" si="6"/>
        <v>2682.0393580575073</v>
      </c>
      <c r="G25" s="447">
        <f t="shared" si="7"/>
        <v>0</v>
      </c>
      <c r="H25" s="447">
        <f t="shared" si="8"/>
        <v>0</v>
      </c>
      <c r="I25" s="447">
        <f t="shared" si="9"/>
        <v>0</v>
      </c>
      <c r="J25" s="447">
        <f t="shared" si="10"/>
        <v>106.33961890755091</v>
      </c>
      <c r="K25" s="447">
        <f t="shared" si="11"/>
        <v>0</v>
      </c>
      <c r="L25" s="447">
        <f t="shared" si="12"/>
        <v>0</v>
      </c>
      <c r="M25" s="447">
        <f t="shared" si="13"/>
        <v>0</v>
      </c>
      <c r="N25" s="447">
        <f t="shared" si="14"/>
        <v>0</v>
      </c>
      <c r="O25" s="447">
        <f t="shared" si="15"/>
        <v>0</v>
      </c>
      <c r="P25" s="448">
        <f t="shared" si="16"/>
        <v>0</v>
      </c>
      <c r="Q25" s="446">
        <f t="shared" ca="1" si="17"/>
        <v>4170.5538084622622</v>
      </c>
    </row>
    <row r="26" spans="1:17">
      <c r="A26" s="446" t="s">
        <v>640</v>
      </c>
      <c r="B26" s="447">
        <f t="shared" ca="1" si="2"/>
        <v>79402.208712212305</v>
      </c>
      <c r="C26" s="447">
        <f t="shared" ca="1" si="3"/>
        <v>1013.5629437483047</v>
      </c>
      <c r="D26" s="447">
        <f t="shared" si="4"/>
        <v>57508.615403169089</v>
      </c>
      <c r="E26" s="447">
        <f t="shared" si="5"/>
        <v>1045.3446952509473</v>
      </c>
      <c r="F26" s="447">
        <f t="shared" si="6"/>
        <v>24793.316103239995</v>
      </c>
      <c r="G26" s="447">
        <f t="shared" si="7"/>
        <v>0</v>
      </c>
      <c r="H26" s="447">
        <f t="shared" si="8"/>
        <v>0</v>
      </c>
      <c r="I26" s="447">
        <f t="shared" si="9"/>
        <v>0</v>
      </c>
      <c r="J26" s="447">
        <f t="shared" si="10"/>
        <v>602.08191095836253</v>
      </c>
      <c r="K26" s="447">
        <f t="shared" si="11"/>
        <v>0</v>
      </c>
      <c r="L26" s="447">
        <f t="shared" si="12"/>
        <v>0</v>
      </c>
      <c r="M26" s="447">
        <f t="shared" si="13"/>
        <v>0</v>
      </c>
      <c r="N26" s="447">
        <f t="shared" si="14"/>
        <v>0</v>
      </c>
      <c r="O26" s="447">
        <f t="shared" si="15"/>
        <v>0</v>
      </c>
      <c r="P26" s="448">
        <f t="shared" si="16"/>
        <v>0</v>
      </c>
      <c r="Q26" s="446">
        <f t="shared" ca="1" si="17"/>
        <v>164365.12976857901</v>
      </c>
    </row>
    <row r="27" spans="1:17" s="452" customFormat="1">
      <c r="A27" s="450" t="s">
        <v>560</v>
      </c>
      <c r="B27" s="723">
        <f t="shared" ca="1" si="2"/>
        <v>16.522954000027408</v>
      </c>
      <c r="C27" s="451">
        <f t="shared" ca="1" si="3"/>
        <v>0</v>
      </c>
      <c r="D27" s="451">
        <f t="shared" si="4"/>
        <v>19.851005591587146</v>
      </c>
      <c r="E27" s="451">
        <f t="shared" si="5"/>
        <v>1569.9385429529993</v>
      </c>
      <c r="F27" s="451">
        <f t="shared" si="6"/>
        <v>0</v>
      </c>
      <c r="G27" s="451">
        <f t="shared" si="7"/>
        <v>467861.60383897222</v>
      </c>
      <c r="H27" s="451">
        <f t="shared" si="8"/>
        <v>63737.408865348327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533205.32520686521</v>
      </c>
    </row>
    <row r="28" spans="1:17">
      <c r="A28" s="446" t="s">
        <v>550</v>
      </c>
      <c r="B28" s="447">
        <f t="shared" ca="1" si="2"/>
        <v>1798.8592184079976</v>
      </c>
      <c r="C28" s="447">
        <f t="shared" ca="1" si="3"/>
        <v>0</v>
      </c>
      <c r="D28" s="447">
        <f t="shared" si="4"/>
        <v>0</v>
      </c>
      <c r="E28" s="447">
        <f t="shared" si="5"/>
        <v>0</v>
      </c>
      <c r="F28" s="447">
        <f t="shared" si="6"/>
        <v>0</v>
      </c>
      <c r="G28" s="447">
        <f t="shared" si="7"/>
        <v>10391.493443177735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12190.352661585732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4275.2431301568631</v>
      </c>
      <c r="C32" s="447">
        <f t="shared" ca="1" si="3"/>
        <v>0</v>
      </c>
      <c r="D32" s="447">
        <f t="shared" si="4"/>
        <v>14881.906697217521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19157.149827374385</v>
      </c>
    </row>
    <row r="33" spans="1:17" s="459" customFormat="1">
      <c r="A33" s="456" t="s">
        <v>554</v>
      </c>
      <c r="B33" s="457">
        <f ca="1">SUM(B22:B32)</f>
        <v>316596.89016319002</v>
      </c>
      <c r="C33" s="457">
        <f t="shared" ref="C33:Q33" ca="1" si="18">SUM(C22:C32)</f>
        <v>1118.6341730107554</v>
      </c>
      <c r="D33" s="457">
        <f t="shared" ca="1" si="18"/>
        <v>488049.59824690467</v>
      </c>
      <c r="E33" s="457">
        <f t="shared" si="18"/>
        <v>8266.0369191816462</v>
      </c>
      <c r="F33" s="457">
        <f t="shared" ca="1" si="18"/>
        <v>222199.7843786545</v>
      </c>
      <c r="G33" s="457">
        <f t="shared" si="18"/>
        <v>478253.09728214995</v>
      </c>
      <c r="H33" s="457">
        <f t="shared" si="18"/>
        <v>63737.408865348327</v>
      </c>
      <c r="I33" s="457">
        <f t="shared" si="18"/>
        <v>0</v>
      </c>
      <c r="J33" s="457">
        <f t="shared" si="18"/>
        <v>4336.98554454433</v>
      </c>
      <c r="K33" s="457">
        <f t="shared" si="18"/>
        <v>0</v>
      </c>
      <c r="L33" s="457">
        <f t="shared" ca="1" si="18"/>
        <v>0</v>
      </c>
      <c r="M33" s="457">
        <f t="shared" si="18"/>
        <v>0</v>
      </c>
      <c r="N33" s="457">
        <f t="shared" ca="1" si="18"/>
        <v>0</v>
      </c>
      <c r="O33" s="457">
        <f t="shared" si="18"/>
        <v>0</v>
      </c>
      <c r="P33" s="457">
        <f t="shared" si="18"/>
        <v>0</v>
      </c>
      <c r="Q33" s="457">
        <f t="shared" ca="1" si="18"/>
        <v>1582558.4355729842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69777.959571853862</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42909.47662500669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7387.9185359650101</v>
      </c>
      <c r="C8" s="977">
        <f>'SEAP template'!C76</f>
        <v>3309.0314640349907</v>
      </c>
      <c r="D8" s="977">
        <f>'SEAP template'!D76</f>
        <v>1013.6378174923871</v>
      </c>
      <c r="E8" s="977">
        <f>'SEAP template'!E76</f>
        <v>0</v>
      </c>
      <c r="F8" s="977">
        <f>'SEAP template'!F76</f>
        <v>2879.0863643608768</v>
      </c>
      <c r="G8" s="977">
        <f>'SEAP template'!G76</f>
        <v>0</v>
      </c>
      <c r="H8" s="977">
        <f>'SEAP template'!H76</f>
        <v>0</v>
      </c>
      <c r="I8" s="977">
        <f>'SEAP template'!I76</f>
        <v>8691.1017471693795</v>
      </c>
      <c r="J8" s="977">
        <f>'SEAP template'!J76</f>
        <v>0</v>
      </c>
      <c r="K8" s="977">
        <f>'SEAP template'!K76</f>
        <v>0</v>
      </c>
      <c r="L8" s="977">
        <f>'SEAP template'!L76</f>
        <v>0</v>
      </c>
      <c r="M8" s="977">
        <f>'SEAP template'!M76</f>
        <v>0</v>
      </c>
      <c r="N8" s="977">
        <f>'SEAP template'!N76</f>
        <v>0</v>
      </c>
      <c r="O8" s="977">
        <f>'SEAP template'!O76</f>
        <v>0</v>
      </c>
      <c r="P8" s="978">
        <f>'SEAP template'!Q76</f>
        <v>973.47089841781644</v>
      </c>
    </row>
    <row r="9" spans="1:16">
      <c r="A9" s="980" t="s">
        <v>859</v>
      </c>
      <c r="B9" s="977">
        <f>'SEAP template'!B77</f>
        <v>1858.5</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5310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121933.85473282557</v>
      </c>
      <c r="C10" s="981">
        <f>SUM(C4:C9)</f>
        <v>3309.0314640349907</v>
      </c>
      <c r="D10" s="981">
        <f t="shared" ref="D10:H10" si="0">SUM(D8:D9)</f>
        <v>1013.6378174923871</v>
      </c>
      <c r="E10" s="981">
        <f t="shared" si="0"/>
        <v>0</v>
      </c>
      <c r="F10" s="981">
        <f t="shared" si="0"/>
        <v>2879.0863643608768</v>
      </c>
      <c r="G10" s="981">
        <f t="shared" si="0"/>
        <v>0</v>
      </c>
      <c r="H10" s="981">
        <f t="shared" si="0"/>
        <v>0</v>
      </c>
      <c r="I10" s="981">
        <f>SUM(I8:I9)</f>
        <v>8691.1017471693795</v>
      </c>
      <c r="J10" s="981">
        <f>SUM(J8:J9)</f>
        <v>5310</v>
      </c>
      <c r="K10" s="981">
        <f t="shared" ref="K10:L10" si="1">SUM(K8:K9)</f>
        <v>0</v>
      </c>
      <c r="L10" s="981">
        <f t="shared" si="1"/>
        <v>0</v>
      </c>
      <c r="M10" s="981">
        <f>SUM(M8:M9)</f>
        <v>0</v>
      </c>
      <c r="N10" s="981">
        <f>SUM(N8:N9)</f>
        <v>0</v>
      </c>
      <c r="O10" s="981">
        <f>SUM(O8:O9)</f>
        <v>0</v>
      </c>
      <c r="P10" s="981">
        <f>SUM(P8:P9)</f>
        <v>973.47089841781644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0.20380857942377811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8489.5995917106047</v>
      </c>
      <c r="C17" s="984">
        <f>'SEAP template'!C87</f>
        <v>3802.4718368608233</v>
      </c>
      <c r="D17" s="978">
        <f>'SEAP template'!D87</f>
        <v>1164.7907539361845</v>
      </c>
      <c r="E17" s="978">
        <f>'SEAP template'!E87</f>
        <v>0</v>
      </c>
      <c r="F17" s="978">
        <f>'SEAP template'!F87</f>
        <v>3308.4136356391227</v>
      </c>
      <c r="G17" s="978">
        <f>'SEAP template'!G87</f>
        <v>0</v>
      </c>
      <c r="H17" s="978">
        <f>'SEAP template'!H87</f>
        <v>0</v>
      </c>
      <c r="I17" s="978">
        <f>'SEAP template'!I87</f>
        <v>9987.112538544905</v>
      </c>
      <c r="J17" s="978">
        <f>'SEAP template'!J87</f>
        <v>0</v>
      </c>
      <c r="K17" s="978">
        <f>'SEAP template'!K87</f>
        <v>0</v>
      </c>
      <c r="L17" s="978">
        <f>'SEAP template'!L87</f>
        <v>0</v>
      </c>
      <c r="M17" s="978">
        <f>'SEAP template'!M87</f>
        <v>0</v>
      </c>
      <c r="N17" s="978">
        <f>'SEAP template'!N87</f>
        <v>0</v>
      </c>
      <c r="O17" s="978">
        <f>'SEAP template'!O87</f>
        <v>0</v>
      </c>
      <c r="P17" s="978">
        <f>'SEAP template'!Q87</f>
        <v>1118.6341730107551</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8489.5995917106047</v>
      </c>
      <c r="C20" s="981">
        <f>SUM(C17:C19)</f>
        <v>3802.4718368608233</v>
      </c>
      <c r="D20" s="981">
        <f t="shared" ref="D20:H20" si="2">SUM(D17:D19)</f>
        <v>1164.7907539361845</v>
      </c>
      <c r="E20" s="981">
        <f t="shared" si="2"/>
        <v>0</v>
      </c>
      <c r="F20" s="981">
        <f t="shared" si="2"/>
        <v>3308.4136356391227</v>
      </c>
      <c r="G20" s="981">
        <f t="shared" si="2"/>
        <v>0</v>
      </c>
      <c r="H20" s="981">
        <f t="shared" si="2"/>
        <v>0</v>
      </c>
      <c r="I20" s="981">
        <f>SUM(I17:I19)</f>
        <v>9987.112538544905</v>
      </c>
      <c r="J20" s="981">
        <f>SUM(J17:J19)</f>
        <v>0</v>
      </c>
      <c r="K20" s="981">
        <f t="shared" ref="K20:L20" si="3">SUM(K17:K19)</f>
        <v>0</v>
      </c>
      <c r="L20" s="981">
        <f t="shared" si="3"/>
        <v>0</v>
      </c>
      <c r="M20" s="981">
        <f>SUM(M17:M19)</f>
        <v>0</v>
      </c>
      <c r="N20" s="981">
        <f>SUM(N17:N19)</f>
        <v>0</v>
      </c>
      <c r="O20" s="981">
        <f>SUM(O17:O19)</f>
        <v>0</v>
      </c>
      <c r="P20" s="981">
        <f>SUM(P17:P19)</f>
        <v>1118.6341730107551</v>
      </c>
    </row>
    <row r="22" spans="1:16">
      <c r="A22" s="460" t="s">
        <v>867</v>
      </c>
      <c r="B22" s="729" t="s">
        <v>861</v>
      </c>
      <c r="C22" s="729">
        <f ca="1">'EF ele_warmte'!B22</f>
        <v>9.1004529180543636E-2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0.20380857942377811</v>
      </c>
      <c r="C17" s="496">
        <f ca="1">'EF ele_warmte'!B22</f>
        <v>9.1004529180543636E-2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1</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19.066666666666666</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2022-07-26T12:35:26Z</dcterms:modified>
</cp:coreProperties>
</file>