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CFF2392D-5B3F-4D41-A4E4-C24BDC98E21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<sst xmlns="http://schemas.openxmlformats.org/spreadsheetml/2006/main" count="2492" uniqueCount="942">
  <si>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</si>
  <si>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</si>
  <si>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</si>
  <si>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</si>
  <si>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</si>
  <si>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</si>
  <si>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</si>
  <si>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</si>
  <si>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</si>
  <si>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</si>
  <si>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</si>
  <si>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</si>
  <si>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</si>
  <si>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</si>
  <si>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</si>
  <si>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</si>
  <si>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</si>
  <si>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</si>
  <si>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</si>
  <si>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</si>
  <si>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</si>
  <si>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</si>
  <si>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</si>
  <si>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</si>
  <si>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</si>
  <si>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</si>
  <si>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</si>
  <si>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</si>
  <si>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</si>
  <si>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</si>
  <si>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</si>
  <si>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</si>
  <si>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</si>
  <si>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</si>
  <si>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</si>
  <si>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</si>
  <si>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</si>
  <si>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</si>
  <si>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</si>
  <si>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</si>
  <si>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</si>
  <si>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</si>
  <si>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</si>
  <si>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</si>
  <si>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</si>
  <si>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</si>
  <si>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</si>
  <si>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</si>
  <si>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</si>
  <si>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</si>
  <si>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</si>
  <si>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</si>
  <si>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</si>
  <si>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</si>
  <si>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</si>
  <si>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</si>
  <si>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</si>
  <si>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</si>
  <si>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</si>
  <si>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</si>
  <si>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</si>
  <si>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</si>
  <si>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</si>
  <si>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</si>
  <si>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</si>
  <si>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</si>
  <si>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</si>
  <si>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</si>
  <si>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</si>
  <si>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</si>
  <si>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</si>
  <si>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</si>
  <si>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</si>
  <si>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</si>
  <si>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</si>
  <si>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</si>
  <si>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</si>
  <si>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</si>
  <si>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</si>
  <si>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</si>
  <si>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</si>
  <si>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</si>
  <si>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</si>
  <si>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</si>
  <si>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</si>
  <si>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</si>
  <si>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</si>
  <si>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</si>
  <si>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</si>
  <si>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</si>
  <si>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</si>
  <si>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</si>
  <si>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</si>
  <si>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</si>
  <si>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</si>
  <si>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</si>
  <si>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</si>
  <si>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</si>
  <si>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</si>
  <si>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</si>
  <si>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</si>
  <si>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</si>
  <si>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</si>
  <si>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</si>
  <si>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</si>
  <si>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</si>
  <si>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</si>
  <si>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</si>
  <si>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</si>
  <si>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</si>
  <si>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</si>
  <si>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</si>
  <si>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</si>
  <si>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</si>
  <si>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</si>
  <si>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</si>
  <si>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</si>
  <si>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</si>
  <si>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</si>
  <si>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</si>
  <si>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</si>
  <si>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</si>
  <si>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</si>
  <si>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</si>
  <si>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</si>
  <si>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</si>
  <si>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</si>
  <si>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</si>
  <si>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</si>
  <si>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</si>
  <si>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</si>
  <si>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</si>
  <si>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</si>
  <si>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</si>
  <si>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</si>
  <si>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</si>
  <si>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</si>
  <si>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</si>
  <si>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</si>
  <si>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</si>
  <si>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</si>
  <si>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</si>
  <si>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</si>
  <si>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</si>
  <si>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</si>
  <si>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</si>
  <si>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</si>
  <si>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</si>
  <si>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</si>
  <si>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</si>
  <si>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</si>
  <si>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</si>
  <si>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</si>
  <si>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</si>
  <si>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</si>
  <si>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</si>
  <si>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</si>
  <si>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</si>
  <si>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</si>
  <si>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</si>
  <si>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</si>
  <si>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</si>
  <si>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</si>
  <si>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</si>
  <si>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</si>
  <si>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</si>
  <si>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</si>
  <si>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</si>
  <si>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</si>
  <si>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</si>
  <si>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</si>
  <si>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</si>
  <si>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</si>
  <si>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</si>
  <si>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</si>
  <si>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</si>
  <si>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</si>
  <si>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</si>
  <si>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</si>
  <si>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</si>
  <si>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</si>
  <si>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</si>
  <si>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</si>
  <si>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</si>
  <si>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</si>
  <si>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</si>
  <si>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</si>
  <si>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</si>
  <si>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</si>
  <si>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</si>
  <si>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</si>
  <si>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</si>
  <si>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</si>
  <si>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</si>
  <si>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</si>
  <si>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</si>
  <si>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</si>
  <si>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</si>
  <si>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</si>
  <si>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</si>
  <si>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</si>
  <si>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</si>
  <si>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</si>
  <si>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</si>
  <si>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</si>
  <si>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</si>
  <si>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</si>
  <si>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</si>
  <si>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</si>
  <si>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</si>
  <si>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</si>
  <si>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</si>
  <si>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</si>
  <si>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</si>
  <si>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</si>
  <si>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</si>
  <si>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</si>
  <si>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</si>
  <si>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</si>
  <si>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</si>
  <si>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</si>
  <si>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</si>
  <si>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</si>
  <si>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</si>
  <si>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</si>
  <si>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</si>
  <si>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</si>
  <si>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</si>
  <si>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</si>
  <si>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</si>
  <si>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</si>
  <si>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</si>
  <si>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</si>
  <si>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</si>
  <si>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</si>
  <si>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</si>
  <si>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</si>
  <si>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</si>
  <si>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</si>
  <si>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</si>
  <si>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</si>
  <si>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</si>
  <si>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</si>
  <si>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</si>
  <si>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</si>
  <si>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</si>
  <si>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</si>
  <si>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</si>
  <si>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</si>
  <si>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</si>
  <si>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</si>
  <si>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</si>
  <si>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</si>
  <si>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</si>
  <si>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</si>
  <si>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</si>
  <si>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</si>
  <si>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</si>
  <si>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</si>
  <si>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</si>
  <si>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</si>
  <si>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</si>
  <si>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</si>
  <si>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</si>
  <si>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</si>
  <si>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</si>
  <si>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</si>
  <si>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</si>
  <si>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</si>
  <si>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</si>
  <si>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</si>
  <si>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</si>
  <si>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</si>
  <si>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</si>
  <si>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</si>
  <si>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</si>
  <si>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</si>
  <si>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</si>
  <si>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</si>
  <si>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</si>
  <si>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</si>
  <si>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</si>
  <si>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</si>
  <si>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</si>
  <si>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</si>
  <si>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</si>
  <si>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</si>
  <si>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</si>
  <si>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</si>
  <si>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</si>
  <si>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</si>
  <si>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</si>
  <si>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</si>
  <si>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</si>
  <si>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</si>
  <si>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</si>
  <si>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</si>
  <si>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</si>
  <si>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</si>
  <si>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</si>
  <si>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</si>
  <si>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</si>
  <si>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</si>
  <si>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</si>
  <si>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</si>
  <si>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</si>
  <si>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</si>
  <si>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</si>
  <si>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</si>
  <si>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</si>
  <si>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</si>
  <si>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</si>
  <si>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</si>
  <si>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</si>
  <si>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</si>
  <si>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</si>
  <si>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</si>
  <si>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</si>
  <si>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</si>
  <si>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</si>
  <si>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</si>
  <si>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</si>
  <si>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</si>
  <si>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</si>
  <si>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</si>
  <si>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</si>
  <si>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</si>
  <si>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</si>
  <si>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</si>
  <si>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</si>
  <si>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</si>
  <si>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</si>
  <si>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</si>
  <si>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</si>
  <si>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</si>
  <si>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</si>
  <si>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</si>
  <si>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</si>
  <si>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</si>
  <si>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</si>
  <si>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</si>
  <si>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</si>
  <si>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</si>
  <si>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</si>
  <si>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</si>
  <si>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</si>
  <si>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</si>
  <si>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</si>
  <si>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</si>
  <si>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</si>
  <si>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</si>
  <si>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</si>
  <si>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</si>
  <si>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</si>
  <si>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</si>
  <si>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</si>
  <si>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</si>
  <si>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</si>
  <si>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</si>
  <si>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</si>
  <si>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</si>
  <si>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</si>
  <si>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</si>
  <si>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</si>
  <si>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</si>
  <si>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</si>
  <si>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</si>
  <si>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</si>
  <si>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</si>
  <si>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</si>
  <si>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</si>
  <si>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</si>
  <si>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</si>
  <si>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</si>
  <si>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</si>
  <si>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</si>
  <si>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</si>
  <si>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</si>
  <si>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</si>
  <si>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</si>
  <si>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</si>
  <si>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</si>
  <si>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</si>
  <si>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</si>
  <si>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</si>
  <si>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</si>
  <si>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</si>
  <si>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</si>
  <si>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</si>
  <si>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</si>
  <si>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</si>
  <si>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</si>
  <si>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</si>
  <si>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</si>
  <si>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</si>
  <si>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</si>
  <si>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</si>
  <si>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</si>
  <si>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</si>
  <si>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</si>
  <si>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</si>
  <si>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</si>
  <si>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</si>
  <si>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</si>
  <si>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</si>
  <si>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</si>
  <si>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</si>
  <si>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</si>
  <si>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</si>
  <si>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</si>
  <si>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</si>
  <si>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</si>
  <si>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</si>
  <si>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</si>
  <si>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</si>
  <si>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</si>
  <si>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</si>
  <si>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</si>
  <si>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</si>
  <si>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</si>
  <si>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</si>
  <si>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</si>
  <si>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</si>
  <si>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</si>
  <si>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</si>
  <si>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</si>
  <si>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</si>
  <si>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</si>
  <si>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</si>
  <si>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</si>
  <si>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</si>
  <si>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</si>
  <si>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</si>
  <si>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</si>
  <si>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</si>
  <si>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</si>
  <si>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</si>
  <si>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</si>
  <si>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</si>
  <si>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</si>
  <si>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</si>
  <si>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</si>
  <si>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</si>
  <si>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</si>
  <si>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</si>
  <si>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</si>
  <si>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</si>
  <si>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</si>
  <si>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</si>
  <si>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</si>
  <si>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</si>
  <si>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</si>
  <si>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</si>
  <si>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</si>
  <si>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</si>
  <si>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</si>
  <si>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</si>
  <si>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</si>
  <si>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</si>
  <si>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</si>
  <si>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</si>
  <si>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</si>
  <si>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</si>
  <si>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</si>
  <si>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</si>
  <si>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</si>
  <si>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</si>
  <si>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</si>
  <si>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</si>
  <si>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</si>
  <si>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</si>
  <si>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</si>
  <si>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</si>
  <si>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</si>
  <si>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</si>
  <si>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</si>
  <si>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</si>
  <si>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</si>
  <si>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</si>
  <si>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</si>
  <si>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</si>
  <si>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</si>
  <si>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</si>
  <si>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</si>
  <si>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</si>
  <si>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</si>
  <si>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</si>
  <si>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</si>
  <si>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</si>
  <si>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</si>
  <si>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</si>
  <si>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</si>
  <si>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</si>
  <si>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</si>
  <si>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</si>
  <si>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</si>
  <si>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</si>
  <si>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</si>
  <si>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</si>
  <si>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</si>
  <si>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</si>
  <si>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</si>
  <si>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</si>
  <si>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</si>
  <si>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</si>
  <si>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</si>
  <si>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</si>
  <si>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</si>
  <si>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</si>
  <si>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</si>
  <si>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</si>
  <si>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</si>
  <si>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</si>
  <si>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</si>
  <si>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</si>
  <si>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</si>
  <si>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</si>
  <si>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</si>
  <si>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</si>
  <si>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</si>
  <si>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</si>
  <si>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</si>
  <si>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</si>
  <si>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</si>
  <si>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</si>
  <si>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</si>
  <si>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</si>
  <si>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</si>
  <si>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</si>
  <si>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</si>
  <si>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</si>
  <si>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</si>
  <si>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</si>
  <si>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</si>
  <si>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</si>
  <si>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</si>
  <si>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</si>
  <si>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</si>
  <si>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</si>
  <si>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</si>
  <si>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</si>
  <si>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</si>
  <si>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</si>
  <si>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</si>
  <si>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</si>
  <si>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</si>
  <si>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</si>
  <si>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</si>
  <si>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</si>
  <si>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</si>
  <si>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</si>
  <si>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</si>
  <si>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</si>
  <si>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</si>
  <si>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</si>
  <si>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</si>
  <si>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</si>
  <si>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</si>
  <si>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</si>
  <si>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</si>
  <si>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</si>
  <si>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</si>
  <si>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</si>
  <si>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</si>
  <si>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</si>
  <si>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</si>
  <si>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</si>
  <si>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</si>
  <si>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</si>
  <si>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</si>
  <si>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</si>
  <si>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</si>
  <si>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</si>
  <si>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</si>
  <si>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</si>
  <si>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</si>
  <si>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</si>
  <si>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</si>
  <si>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</si>
  <si>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</si>
  <si>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</si>
  <si>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</si>
  <si>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</si>
  <si>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</si>
  <si>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</si>
  <si>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</si>
  <si>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</si>
  <si>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</si>
  <si>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</si>
  <si>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</si>
  <si>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</si>
  <si>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</si>
  <si>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</si>
  <si>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</si>
  <si>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</si>
  <si>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</si>
  <si>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</si>
  <si>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</si>
  <si>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</si>
  <si>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</si>
  <si>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</si>
  <si>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</si>
  <si>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</si>
  <si>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</si>
  <si>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</si>
  <si>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</si>
  <si>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</si>
  <si>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</si>
  <si>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</si>
  <si>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</si>
  <si>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</si>
  <si>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</si>
  <si>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</si>
  <si>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</si>
  <si>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</si>
  <si>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</si>
  <si>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</si>
  <si>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</si>
  <si>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</si>
  <si>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</si>
  <si>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</si>
  <si>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</si>
  <si>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</si>
  <si>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</si>
  <si>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</si>
  <si>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</si>
  <si>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</si>
  <si>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</si>
  <si>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</si>
  <si>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</si>
  <si>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</si>
  <si>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</si>
  <si>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</si>
  <si>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</si>
  <si>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</si>
  <si>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</si>
  <si>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</si>
  <si>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</si>
  <si>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</si>
  <si>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</si>
  <si>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</si>
  <si>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</si>
  <si>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</si>
  <si>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</si>
  <si>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</si>
  <si>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</si>
  <si>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</si>
  <si>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</si>
  <si>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</si>
  <si>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</si>
  <si>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</si>
  <si>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</si>
  <si>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</si>
  <si>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</si>
  <si>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</si>
  <si>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</si>
  <si>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</si>
  <si>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</si>
  <si>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</si>
  <si>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</si>
  <si>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</si>
  <si>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</si>
  <si>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</si>
  <si>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</si>
  <si>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</si>
  <si>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</si>
  <si>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</si>
  <si>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</si>
  <si>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</si>
  <si>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</si>
  <si>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</si>
  <si>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</si>
  <si>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</si>
  <si>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</si>
  <si>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</si>
  <si>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</si>
  <si>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</si>
  <si>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</si>
  <si>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</si>
  <si>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</si>
  <si>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</si>
  <si>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</si>
  <si>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</si>
  <si>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</si>
  <si>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</si>
  <si>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</si>
  <si>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</si>
  <si>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</si>
  <si>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</si>
  <si>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</si>
  <si>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</si>
  <si>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</si>
  <si>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</si>
  <si>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</si>
  <si>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</si>
  <si>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</si>
  <si>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</si>
  <si>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</si>
  <si>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</si>
  <si>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</si>
  <si>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</si>
  <si>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</si>
  <si>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</si>
  <si>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</si>
  <si>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</si>
  <si>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</si>
  <si>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</si>
  <si>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</si>
  <si>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</si>
  <si>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</si>
  <si>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</si>
  <si>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</si>
  <si>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</si>
  <si>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</si>
  <si>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</si>
  <si>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</si>
  <si>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</si>
  <si>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</si>
  <si>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</si>
  <si>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</si>
  <si>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</si>
  <si>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</si>
  <si>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</si>
  <si>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</si>
  <si>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</si>
  <si>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</si>
  <si>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</si>
  <si>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</si>
  <si>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</si>
  <si>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</si>
  <si>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</si>
  <si>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</si>
  <si>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</si>
  <si>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</si>
  <si>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</si>
  <si>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</si>
  <si>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</si>
  <si>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</si>
  <si>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</si>
  <si>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</si>
  <si>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</si>
  <si>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</si>
  <si>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</si>
  <si>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</si>
  <si>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</si>
  <si>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</si>
  <si>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</si>
  <si>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</si>
  <si>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</si>
  <si>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</si>
  <si>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</si>
  <si>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</si>
  <si>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</si>
  <si>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</si>
  <si>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</si>
  <si>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</si>
  <si>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</si>
  <si>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</si>
  <si>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</si>
  <si>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</si>
  <si>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</si>
  <si>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</si>
  <si>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</si>
  <si>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</si>
  <si>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</si>
  <si>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</si>
  <si>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</si>
  <si>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</si>
  <si>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</si>
  <si>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</si>
  <si>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</si>
  <si>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</si>
  <si>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</si>
  <si>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</si>
  <si>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</si>
  <si>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</si>
  <si>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</si>
  <si>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</si>
  <si>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</si>
  <si>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</si>
  <si>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</si>
  <si>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</si>
  <si>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</si>
  <si>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</si>
  <si>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</si>
  <si>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</si>
  <si>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</si>
  <si>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</si>
  <si>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</si>
  <si>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</si>
  <si>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</si>
  <si>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</si>
  <si>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</si>
  <si>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</si>
  <si>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</si>
  <si>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</si>
  <si>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</si>
  <si>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</si>
  <si>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</si>
  <si>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</si>
  <si>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</si>
  <si>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</si>
  <si>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</si>
  <si>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</si>
  <si>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</si>
  <si>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</si>
  <si>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</si>
  <si>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</si>
  <si>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</si>
  <si>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</si>
  <si>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</si>
  <si>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</si>
  <si>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</si>
  <si>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</si>
  <si>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</si>
  <si>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</si>
  <si>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</si>
  <si>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</si>
  <si>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</si>
  <si>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</si>
  <si>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</si>
  <si>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</si>
  <si>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</si>
  <si>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</si>
  <si>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</si>
  <si>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</si>
  <si>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</si>
  <si>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</si>
  <si>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</si>
  <si>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</si>
  <si>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</si>
  <si>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</si>
  <si>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</si>
  <si>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</si>
  <si>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</si>
  <si>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</si>
  <si>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</si>
  <si>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</si>
  <si>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</si>
  <si>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</si>
  <si>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</si>
  <si>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</si>
  <si>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</si>
  <si>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</si>
  <si>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</si>
  <si>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</si>
  <si>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</si>
  <si>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</si>
  <si>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</si>
  <si>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</si>
  <si>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</si>
  <si>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</si>
  <si>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</si>
  <si>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</si>
  <si>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</si>
  <si>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</si>
  <si>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</si>
  <si>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</si>
  <si>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</si>
  <si>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</si>
  <si>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</si>
  <si>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</si>
  <si>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</si>
  <si>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</si>
  <si>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</si>
  <si>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</si>
  <si>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</si>
  <si>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</si>
  <si>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</si>
  <si>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</si>
  <si>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</si>
  <si>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</si>
  <si>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</si>
  <si>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</si>
  <si>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</si>
  <si>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</si>
  <si>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</si>
  <si>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</si>
  <si>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</si>
  <si>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</si>
  <si>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</si>
  <si>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</si>
  <si>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</si>
  <si>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</si>
  <si>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</si>
  <si>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</si>
  <si>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</si>
  <si>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</si>
  <si>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</si>
  <si>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</si>
  <si>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</si>
  <si>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</si>
  <si>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</si>
  <si>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</si>
  <si>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</si>
  <si>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</si>
  <si>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</si>
  <si>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</si>
  <si>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</si>
  <si>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</si>
  <si>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</si>
  <si>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</si>
  <si>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</si>
  <si>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</si>
  <si>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</si>
  <si>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</si>
  <si>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</si>
  <si>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</si>
  <si>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</si>
  <si>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</si>
  <si>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</si>
  <si>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</si>
  <si>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</si>
  <si>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</si>
  <si>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</si>
  <si>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</si>
  <si>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</si>
  <si>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</si>
  <si>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</si>
  <si>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</si>
  <si>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</si>
  <si>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</si>
  <si>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</si>
  <si>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</si>
  <si>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</si>
  <si>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</si>
  <si>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</si>
  <si>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</si>
  <si>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</si>
  <si>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</si>
  <si>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</si>
  <si>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</si>
  <si>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</si>
  <si>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</si>
  <si>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</si>
  <si>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</si>
  <si>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</si>
  <si>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42023</t>
  </si>
  <si>
    <t>WAASMUNSTER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</si>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</sst>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2C8B71F-9E8F-44CA-B375-EF406CE7177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42023</v>
      </c>
      <c r="B6" s="384"/>
      <c r="C6" s="385"/>
    </row>
    <row r="7" spans="1:7" s="382" customFormat="1" ht="15.75" customHeight="1">
      <c r="A7" s="386" t="str">
        <f>txtMunicipality</f>
        <v>WAASMUNSTER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0.2085951232603287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0.2085951232603287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4243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1376</v>
      </c>
      <c r="C14" s="327"/>
      <c r="D14" s="327"/>
      <c r="E14" s="327"/>
      <c r="F14" s="327"/>
    </row>
    <row r="15" spans="1:6">
      <c r="A15" s="1258" t="s">
        <v>177</v>
      </c>
      <c r="B15" s="1259">
        <v>8</v>
      </c>
      <c r="C15" s="327"/>
      <c r="D15" s="327"/>
      <c r="E15" s="327"/>
      <c r="F15" s="327"/>
    </row>
    <row r="16" spans="1:6">
      <c r="A16" s="1258" t="s">
        <v>6</v>
      </c>
      <c r="B16" s="1259">
        <v>339</v>
      </c>
      <c r="C16" s="327"/>
      <c r="D16" s="327"/>
      <c r="E16" s="327"/>
      <c r="F16" s="327"/>
    </row>
    <row r="17" spans="1:6">
      <c r="A17" s="1258" t="s">
        <v>7</v>
      </c>
      <c r="B17" s="1259">
        <v>451</v>
      </c>
      <c r="C17" s="327"/>
      <c r="D17" s="327"/>
      <c r="E17" s="327"/>
      <c r="F17" s="327"/>
    </row>
    <row r="18" spans="1:6">
      <c r="A18" s="1258" t="s">
        <v>8</v>
      </c>
      <c r="B18" s="1259">
        <v>510</v>
      </c>
      <c r="C18" s="327"/>
      <c r="D18" s="327"/>
      <c r="E18" s="327"/>
      <c r="F18" s="327"/>
    </row>
    <row r="19" spans="1:6">
      <c r="A19" s="1258" t="s">
        <v>9</v>
      </c>
      <c r="B19" s="1259">
        <v>448</v>
      </c>
      <c r="C19" s="327"/>
      <c r="D19" s="327"/>
      <c r="E19" s="327"/>
      <c r="F19" s="327"/>
    </row>
    <row r="20" spans="1:6">
      <c r="A20" s="1258" t="s">
        <v>10</v>
      </c>
      <c r="B20" s="1259">
        <v>359</v>
      </c>
      <c r="C20" s="327"/>
      <c r="D20" s="327"/>
      <c r="E20" s="327"/>
      <c r="F20" s="327"/>
    </row>
    <row r="21" spans="1:6">
      <c r="A21" s="1258" t="s">
        <v>11</v>
      </c>
      <c r="B21" s="1259">
        <v>4677</v>
      </c>
      <c r="C21" s="327"/>
      <c r="D21" s="327"/>
      <c r="E21" s="327"/>
      <c r="F21" s="327"/>
    </row>
    <row r="22" spans="1:6">
      <c r="A22" s="1258" t="s">
        <v>12</v>
      </c>
      <c r="B22" s="1259">
        <v>10458</v>
      </c>
      <c r="C22" s="327"/>
      <c r="D22" s="327"/>
      <c r="E22" s="327"/>
      <c r="F22" s="327"/>
    </row>
    <row r="23" spans="1:6">
      <c r="A23" s="1258" t="s">
        <v>13</v>
      </c>
      <c r="B23" s="1259">
        <v>301</v>
      </c>
      <c r="C23" s="327"/>
      <c r="D23" s="327"/>
      <c r="E23" s="327"/>
      <c r="F23" s="327"/>
    </row>
    <row r="24" spans="1:6">
      <c r="A24" s="1258" t="s">
        <v>14</v>
      </c>
      <c r="B24" s="1259">
        <v>11</v>
      </c>
      <c r="C24" s="327"/>
      <c r="D24" s="327"/>
      <c r="E24" s="327"/>
      <c r="F24" s="327"/>
    </row>
    <row r="25" spans="1:6">
      <c r="A25" s="1258" t="s">
        <v>15</v>
      </c>
      <c r="B25" s="1259">
        <v>957</v>
      </c>
      <c r="C25" s="327"/>
      <c r="D25" s="327"/>
      <c r="E25" s="327"/>
      <c r="F25" s="327"/>
    </row>
    <row r="26" spans="1:6">
      <c r="A26" s="1258" t="s">
        <v>16</v>
      </c>
      <c r="B26" s="1259">
        <v>41</v>
      </c>
      <c r="C26" s="327"/>
      <c r="D26" s="327"/>
      <c r="E26" s="327"/>
      <c r="F26" s="327"/>
    </row>
    <row r="27" spans="1:6">
      <c r="A27" s="1258" t="s">
        <v>17</v>
      </c>
      <c r="B27" s="1259">
        <v>0</v>
      </c>
      <c r="C27" s="327"/>
      <c r="D27" s="327"/>
      <c r="E27" s="327"/>
      <c r="F27" s="327"/>
    </row>
    <row r="28" spans="1:6">
      <c r="A28" s="1258" t="s">
        <v>18</v>
      </c>
      <c r="B28" s="1260">
        <v>12325</v>
      </c>
      <c r="C28" s="327"/>
      <c r="D28" s="327"/>
      <c r="E28" s="327"/>
      <c r="F28" s="327"/>
    </row>
    <row r="29" spans="1:6">
      <c r="A29" s="1258" t="s">
        <v>939</v>
      </c>
      <c r="B29" s="1260">
        <v>171</v>
      </c>
      <c r="C29" s="327"/>
      <c r="D29" s="327"/>
      <c r="E29" s="327"/>
      <c r="F29" s="327"/>
    </row>
    <row r="30" spans="1:6">
      <c r="A30" s="1253" t="s">
        <v>940</v>
      </c>
      <c r="B30" s="1261">
        <v>68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2128</v>
      </c>
      <c r="D39" s="1259">
        <v>40971758.0098892</v>
      </c>
      <c r="E39" s="1259">
        <v>4058</v>
      </c>
      <c r="F39" s="1259">
        <v>21505421.9313205</v>
      </c>
    </row>
    <row r="40" spans="1:6">
      <c r="A40" s="1258" t="s">
        <v>29</v>
      </c>
      <c r="B40" s="1258" t="s">
        <v>28</v>
      </c>
      <c r="C40" s="1259">
        <v>0</v>
      </c>
      <c r="D40" s="1259">
        <v>0</v>
      </c>
      <c r="E40" s="1259">
        <v>0</v>
      </c>
      <c r="F40" s="1259">
        <v>0</v>
      </c>
    </row>
    <row r="41" spans="1:6">
      <c r="A41" s="1258" t="s">
        <v>31</v>
      </c>
      <c r="B41" s="1258" t="s">
        <v>32</v>
      </c>
      <c r="C41" s="1259">
        <v>32</v>
      </c>
      <c r="D41" s="1259">
        <v>616991.41975889495</v>
      </c>
      <c r="E41" s="1259">
        <v>84</v>
      </c>
      <c r="F41" s="1259">
        <v>613405.71048576303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41370.351641622801</v>
      </c>
    </row>
    <row r="45" spans="1:6">
      <c r="A45" s="1258" t="s">
        <v>31</v>
      </c>
      <c r="B45" s="1258" t="s">
        <v>36</v>
      </c>
      <c r="C45" s="1259">
        <v>0</v>
      </c>
      <c r="D45" s="1259">
        <v>0</v>
      </c>
      <c r="E45" s="1259">
        <v>3</v>
      </c>
      <c r="F45" s="1259">
        <v>160257.169600792</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14</v>
      </c>
      <c r="D48" s="1259">
        <v>390364.57322470401</v>
      </c>
      <c r="E48" s="1259">
        <v>28</v>
      </c>
      <c r="F48" s="1259">
        <v>419017.82381601899</v>
      </c>
    </row>
    <row r="49" spans="1:6">
      <c r="A49" s="1258" t="s">
        <v>31</v>
      </c>
      <c r="B49" s="1258" t="s">
        <v>39</v>
      </c>
      <c r="C49" s="1259">
        <v>0</v>
      </c>
      <c r="D49" s="1259">
        <v>0</v>
      </c>
      <c r="E49" s="1259">
        <v>0</v>
      </c>
      <c r="F49" s="1259">
        <v>0</v>
      </c>
    </row>
    <row r="50" spans="1:6">
      <c r="A50" s="1258" t="s">
        <v>31</v>
      </c>
      <c r="B50" s="1258" t="s">
        <v>40</v>
      </c>
      <c r="C50" s="1259">
        <v>4</v>
      </c>
      <c r="D50" s="1259">
        <v>131282.83918262401</v>
      </c>
      <c r="E50" s="1259">
        <v>8</v>
      </c>
      <c r="F50" s="1259">
        <v>494739.06120378402</v>
      </c>
    </row>
    <row r="51" spans="1:6">
      <c r="A51" s="1258" t="s">
        <v>41</v>
      </c>
      <c r="B51" s="1258" t="s">
        <v>42</v>
      </c>
      <c r="C51" s="1259">
        <v>0</v>
      </c>
      <c r="D51" s="1259">
        <v>0</v>
      </c>
      <c r="E51" s="1259">
        <v>44</v>
      </c>
      <c r="F51" s="1259">
        <v>796815.350371673</v>
      </c>
    </row>
    <row r="52" spans="1:6">
      <c r="A52" s="1258" t="s">
        <v>41</v>
      </c>
      <c r="B52" s="1258" t="s">
        <v>28</v>
      </c>
      <c r="C52" s="1259">
        <v>3</v>
      </c>
      <c r="D52" s="1259">
        <v>732448.04424241604</v>
      </c>
      <c r="E52" s="1259">
        <v>3</v>
      </c>
      <c r="F52" s="1259">
        <v>285144.34533391899</v>
      </c>
    </row>
    <row r="53" spans="1:6">
      <c r="A53" s="1258" t="s">
        <v>43</v>
      </c>
      <c r="B53" s="1258" t="s">
        <v>44</v>
      </c>
      <c r="C53" s="1259">
        <v>55</v>
      </c>
      <c r="D53" s="1259">
        <v>1921227.0961445</v>
      </c>
      <c r="E53" s="1259">
        <v>124</v>
      </c>
      <c r="F53" s="1259">
        <v>1031649.44705425</v>
      </c>
    </row>
    <row r="54" spans="1:6">
      <c r="A54" s="1258" t="s">
        <v>45</v>
      </c>
      <c r="B54" s="1258" t="s">
        <v>46</v>
      </c>
      <c r="C54" s="1259">
        <v>0</v>
      </c>
      <c r="D54" s="1259">
        <v>0</v>
      </c>
      <c r="E54" s="1259">
        <v>1</v>
      </c>
      <c r="F54" s="1259">
        <v>831763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374370.01380922098</v>
      </c>
      <c r="E57" s="1259">
        <v>71</v>
      </c>
      <c r="F57" s="1259">
        <v>1064231.1615430999</v>
      </c>
    </row>
    <row r="58" spans="1:6">
      <c r="A58" s="1258" t="s">
        <v>48</v>
      </c>
      <c r="B58" s="1258" t="s">
        <v>50</v>
      </c>
      <c r="C58" s="1259">
        <v>16</v>
      </c>
      <c r="D58" s="1259">
        <v>2327544.3636948299</v>
      </c>
      <c r="E58" s="1259">
        <v>28</v>
      </c>
      <c r="F58" s="1259">
        <v>442471.47985521902</v>
      </c>
    </row>
    <row r="59" spans="1:6">
      <c r="A59" s="1258" t="s">
        <v>48</v>
      </c>
      <c r="B59" s="1258" t="s">
        <v>51</v>
      </c>
      <c r="C59" s="1259">
        <v>24</v>
      </c>
      <c r="D59" s="1259">
        <v>831673.788642011</v>
      </c>
      <c r="E59" s="1259">
        <v>119</v>
      </c>
      <c r="F59" s="1259">
        <v>2369172.14391409</v>
      </c>
    </row>
    <row r="60" spans="1:6">
      <c r="A60" s="1258" t="s">
        <v>48</v>
      </c>
      <c r="B60" s="1258" t="s">
        <v>52</v>
      </c>
      <c r="C60" s="1259">
        <v>33</v>
      </c>
      <c r="D60" s="1259">
        <v>2228152.0471874801</v>
      </c>
      <c r="E60" s="1259">
        <v>52</v>
      </c>
      <c r="F60" s="1259">
        <v>1821730.9457871499</v>
      </c>
    </row>
    <row r="61" spans="1:6">
      <c r="A61" s="1258" t="s">
        <v>48</v>
      </c>
      <c r="B61" s="1258" t="s">
        <v>53</v>
      </c>
      <c r="C61" s="1259">
        <v>84</v>
      </c>
      <c r="D61" s="1259">
        <v>5491074.4772241702</v>
      </c>
      <c r="E61" s="1259">
        <v>215</v>
      </c>
      <c r="F61" s="1259">
        <v>3833743.08952086</v>
      </c>
    </row>
    <row r="62" spans="1:6">
      <c r="A62" s="1258" t="s">
        <v>48</v>
      </c>
      <c r="B62" s="1258" t="s">
        <v>54</v>
      </c>
      <c r="C62" s="1259">
        <v>0</v>
      </c>
      <c r="D62" s="1259">
        <v>0</v>
      </c>
      <c r="E62" s="1259">
        <v>6</v>
      </c>
      <c r="F62" s="1259">
        <v>64397.675455213001</v>
      </c>
    </row>
    <row r="63" spans="1:6">
      <c r="A63" s="1258" t="s">
        <v>48</v>
      </c>
      <c r="B63" s="1258" t="s">
        <v>28</v>
      </c>
      <c r="C63" s="1259">
        <v>95</v>
      </c>
      <c r="D63" s="1259">
        <v>4471129.7881631702</v>
      </c>
      <c r="E63" s="1259">
        <v>90</v>
      </c>
      <c r="F63" s="1259">
        <v>1172757.2019098201</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20762.001871281002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35881.8623118213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39551303</v>
      </c>
      <c r="E73" s="445"/>
      <c r="F73" s="327"/>
    </row>
    <row r="74" spans="1:6">
      <c r="A74" s="1258" t="s">
        <v>63</v>
      </c>
      <c r="B74" s="1258" t="s">
        <v>724</v>
      </c>
      <c r="C74" s="1271" t="s">
        <v>718</v>
      </c>
      <c r="D74" s="1259">
        <v>3179412.8240716141</v>
      </c>
      <c r="E74" s="445"/>
      <c r="F74" s="327"/>
    </row>
    <row r="75" spans="1:6">
      <c r="A75" s="1258" t="s">
        <v>64</v>
      </c>
      <c r="B75" s="1258" t="s">
        <v>723</v>
      </c>
      <c r="C75" s="1271" t="s">
        <v>719</v>
      </c>
      <c r="D75" s="1259">
        <v>24680788</v>
      </c>
      <c r="E75" s="445"/>
      <c r="F75" s="327"/>
    </row>
    <row r="76" spans="1:6">
      <c r="A76" s="1258" t="s">
        <v>64</v>
      </c>
      <c r="B76" s="1258" t="s">
        <v>724</v>
      </c>
      <c r="C76" s="1271" t="s">
        <v>720</v>
      </c>
      <c r="D76" s="1259">
        <v>603814.82407161407</v>
      </c>
      <c r="E76" s="445"/>
      <c r="F76" s="327"/>
    </row>
    <row r="77" spans="1:6">
      <c r="A77" s="1258" t="s">
        <v>65</v>
      </c>
      <c r="B77" s="1258" t="s">
        <v>723</v>
      </c>
      <c r="C77" s="1271" t="s">
        <v>721</v>
      </c>
      <c r="D77" s="1259">
        <v>256449983</v>
      </c>
      <c r="E77" s="445"/>
      <c r="F77" s="327"/>
    </row>
    <row r="78" spans="1:6">
      <c r="A78" s="1253" t="s">
        <v>65</v>
      </c>
      <c r="B78" s="1253" t="s">
        <v>724</v>
      </c>
      <c r="C78" s="1253" t="s">
        <v>722</v>
      </c>
      <c r="D78" s="1261">
        <v>60144887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184006.35185677191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1724.4567498401057</v>
      </c>
      <c r="C91" s="327"/>
      <c r="D91" s="327"/>
      <c r="E91" s="327"/>
      <c r="F91" s="327"/>
    </row>
    <row r="92" spans="1:6">
      <c r="A92" s="1253" t="s">
        <v>68</v>
      </c>
      <c r="B92" s="1254">
        <v>447.22622264643951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1195</v>
      </c>
      <c r="C97" s="327"/>
      <c r="D97" s="327"/>
      <c r="E97" s="327"/>
      <c r="F97" s="327"/>
    </row>
    <row r="98" spans="1:6">
      <c r="A98" s="1258" t="s">
        <v>71</v>
      </c>
      <c r="B98" s="1259">
        <v>0</v>
      </c>
      <c r="C98" s="327"/>
      <c r="D98" s="327"/>
      <c r="E98" s="327"/>
      <c r="F98" s="327"/>
    </row>
    <row r="99" spans="1:6">
      <c r="A99" s="1258" t="s">
        <v>72</v>
      </c>
      <c r="B99" s="1259">
        <v>80</v>
      </c>
      <c r="C99" s="327"/>
      <c r="D99" s="327"/>
      <c r="E99" s="327"/>
      <c r="F99" s="327"/>
    </row>
    <row r="100" spans="1:6">
      <c r="A100" s="1258" t="s">
        <v>73</v>
      </c>
      <c r="B100" s="1259">
        <v>447</v>
      </c>
      <c r="C100" s="327"/>
      <c r="D100" s="327"/>
      <c r="E100" s="327"/>
      <c r="F100" s="327"/>
    </row>
    <row r="101" spans="1:6">
      <c r="A101" s="1258" t="s">
        <v>74</v>
      </c>
      <c r="B101" s="1259">
        <v>87</v>
      </c>
      <c r="C101" s="327"/>
      <c r="D101" s="327"/>
      <c r="E101" s="327"/>
      <c r="F101" s="327"/>
    </row>
    <row r="102" spans="1:6">
      <c r="A102" s="1258" t="s">
        <v>75</v>
      </c>
      <c r="B102" s="1259">
        <v>66</v>
      </c>
      <c r="C102" s="327"/>
      <c r="D102" s="327"/>
      <c r="E102" s="327"/>
      <c r="F102" s="327"/>
    </row>
    <row r="103" spans="1:6">
      <c r="A103" s="1258" t="s">
        <v>76</v>
      </c>
      <c r="B103" s="1259">
        <v>169</v>
      </c>
      <c r="C103" s="327"/>
      <c r="D103" s="327"/>
      <c r="E103" s="327"/>
      <c r="F103" s="327"/>
    </row>
    <row r="104" spans="1:6">
      <c r="A104" s="1258" t="s">
        <v>77</v>
      </c>
      <c r="B104" s="1259">
        <v>1789</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7</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38689.778785520124</v>
      </c>
      <c r="C3" s="44" t="s">
        <v>163</v>
      </c>
      <c r="D3" s="44"/>
      <c r="E3" s="157"/>
      <c r="F3" s="44"/>
      <c r="G3" s="44"/>
      <c r="H3" s="44"/>
      <c r="I3" s="44"/>
      <c r="J3" s="44"/>
      <c r="K3" s="97"/>
    </row>
    <row r="4" spans="1:11">
      <c r="A4" s="352" t="s">
        <v>164</v>
      </c>
      <c r="B4" s="50">
        <f>IF(ISERROR('SEAP template'!B78+'SEAP template'!C78),0,'SEAP template'!B78+'SEAP template'!C78)</f>
        <v>2171.6829724865452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0.2085951232603287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831.76300000000003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831.76300000000003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0.2085951232603287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173.50170550838078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21505.421931320499</v>
      </c>
      <c r="C5" s="18">
        <f>IF(ISERROR('Eigen informatie GS &amp; warmtenet'!B57),0,'Eigen informatie GS &amp; warmtenet'!B57)</f>
        <v>0</v>
      </c>
      <c r="D5" s="31">
        <f>(SUM(HH_hh_gas_kWh,HH_rest_gas_kWh)/1000)*0.902</f>
        <v>36956.525724920059</v>
      </c>
      <c r="E5" s="18">
        <f>B32*B41</f>
        <v>1147.5956353267909</v>
      </c>
      <c r="F5" s="18">
        <f>B36*B45</f>
        <v>34986.859111454978</v>
      </c>
      <c r="G5" s="19"/>
      <c r="H5" s="18"/>
      <c r="I5" s="18"/>
      <c r="J5" s="18">
        <f>B35*B44+C35*C44</f>
        <v>634.82436755204992</v>
      </c>
      <c r="K5" s="18"/>
      <c r="L5" s="18"/>
      <c r="M5" s="18"/>
      <c r="N5" s="18">
        <f>B34*B43+C34*C43</f>
        <v>6301.2837642459217</v>
      </c>
      <c r="O5" s="18">
        <f>B52*B53*B54</f>
        <v>57.843333333333334</v>
      </c>
      <c r="P5" s="18">
        <f>B60*B61*B62/1000-B60*B61*B62/1000/B63</f>
        <v>286</v>
      </c>
    </row>
    <row r="6" spans="1:16">
      <c r="A6" s="17" t="s">
        <v>597</v>
      </c>
      <c r="B6" s="731">
        <f>kWh_PV_kleiner_dan_10kW</f>
        <v>1724.4567498401057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23229.878681160604</v>
      </c>
      <c r="C8" s="22">
        <f>C5</f>
        <v>0</v>
      </c>
      <c r="D8" s="22">
        <f>D5</f>
        <v>36956.525724920059</v>
      </c>
      <c r="E8" s="22">
        <f>E5</f>
        <v>1147.5956353267909</v>
      </c>
      <c r="F8" s="22">
        <f>F5</f>
        <v>34986.859111454978</v>
      </c>
      <c r="G8" s="22"/>
      <c r="H8" s="22"/>
      <c r="I8" s="22"/>
      <c r="J8" s="22">
        <f>J5</f>
        <v>634.82436755204992</v>
      </c>
      <c r="K8" s="22"/>
      <c r="L8" s="22">
        <f>L5</f>
        <v>0</v>
      </c>
      <c r="M8" s="22">
        <f>M5</f>
        <v>0</v>
      </c>
      <c r="N8" s="22">
        <f>N5</f>
        <v>6301.2837642459217</v>
      </c>
      <c r="O8" s="22">
        <f>O5</f>
        <v>57.843333333333334</v>
      </c>
      <c r="P8" s="22">
        <f>P5</f>
        <v>286</v>
      </c>
    </row>
    <row r="9" spans="1:16">
      <c r="B9" s="20"/>
      <c r="C9" s="20"/>
      <c r="D9" s="258"/>
      <c r="E9" s="20"/>
      <c r="F9" s="20"/>
      <c r="G9" s="20"/>
      <c r="H9" s="20"/>
      <c r="I9" s="20"/>
      <c r="J9" s="20"/>
      <c r="K9" s="20"/>
      <c r="L9" s="20"/>
      <c r="M9" s="20"/>
      <c r="N9" s="20"/>
      <c r="O9" s="20"/>
      <c r="P9" s="20"/>
    </row>
    <row r="10" spans="1:16">
      <c r="A10" s="25" t="s">
        <v>207</v>
      </c>
      <c r="B10" s="26">
        <f ca="1">'EF ele_warmte'!B12</f>
        <v>0.2085951232603287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4845.6394068191785</v>
      </c>
      <c r="C12" s="24">
        <f ca="1">C10*C8</f>
        <v>0</v>
      </c>
      <c r="D12" s="24">
        <f>D8*D10</f>
        <v>7465.2181964338524</v>
      </c>
      <c r="E12" s="24">
        <f>E10*E8</f>
        <v>260.50420921918152</v>
      </c>
      <c r="F12" s="24">
        <f>F10*F8</f>
        <v>9341.4913827584805</v>
      </c>
      <c r="G12" s="24"/>
      <c r="H12" s="24"/>
      <c r="I12" s="24"/>
      <c r="J12" s="24">
        <f>J10*J8</f>
        <v>224.72782611342566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4243</v>
      </c>
      <c r="C26" s="37"/>
      <c r="D26" s="228"/>
    </row>
    <row r="27" spans="1:5" s="16" customFormat="1">
      <c r="A27" s="230" t="s">
        <v>623</v>
      </c>
      <c r="B27" s="38">
        <f>SUM(HH_hh_gas_aantal,HH_rest_gas_aantal)</f>
        <v>2128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2021.6</v>
      </c>
      <c r="C31" s="35" t="s">
        <v>104</v>
      </c>
      <c r="D31" s="174"/>
    </row>
    <row r="32" spans="1:5">
      <c r="A32" s="171" t="s">
        <v>72</v>
      </c>
      <c r="B32" s="34">
        <f>IF((B21*($B$26-($B$27-0.05*$B$27)-$B$60))&lt;0,0,B21*($B$26-($B$27-0.05*$B$27)-$B$60))</f>
        <v>54.223009366048814</v>
      </c>
      <c r="C32" s="35" t="s">
        <v>104</v>
      </c>
      <c r="D32" s="174"/>
    </row>
    <row r="33" spans="1:6">
      <c r="A33" s="171" t="s">
        <v>73</v>
      </c>
      <c r="B33" s="34">
        <f>IF((B22*($B$26-($B$27-0.05*$B$27)-$B$60))&lt;0,0,B22*($B$26-($B$27-0.05*$B$27)-$B$60))</f>
        <v>364.98444792103663</v>
      </c>
      <c r="C33" s="35" t="s">
        <v>104</v>
      </c>
      <c r="D33" s="174"/>
    </row>
    <row r="34" spans="1:6">
      <c r="A34" s="171" t="s">
        <v>74</v>
      </c>
      <c r="B34" s="34">
        <f>IF((B24*($B$26-($B$27-0.05*$B$27)-$B$60))&lt;0,0,B24*($B$26-($B$27-0.05*$B$27)-$B$60))</f>
        <v>92.567749167855482</v>
      </c>
      <c r="C34" s="34">
        <f>B26*C24</f>
        <v>867.70337629987353</v>
      </c>
      <c r="D34" s="233"/>
    </row>
    <row r="35" spans="1:6">
      <c r="A35" s="171" t="s">
        <v>76</v>
      </c>
      <c r="B35" s="34">
        <f>IF((B19*($B$26-($B$27-0.05*$B$27)-$B$60))&lt;0,0,B19*($B$26-($B$27-0.05*$B$27)-$B$60))</f>
        <v>34.413759750941892</v>
      </c>
      <c r="C35" s="34">
        <f>B35/2</f>
        <v>17.206879875470946</v>
      </c>
      <c r="D35" s="233"/>
    </row>
    <row r="36" spans="1:6">
      <c r="A36" s="171" t="s">
        <v>77</v>
      </c>
      <c r="B36" s="34">
        <f>IF((B18*($B$26-($B$27-0.05*$B$27)-$B$60))&lt;0,0,B18*($B$26-($B$27-0.05*$B$27)-$B$60))</f>
        <v>1660.2110337941167</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10768.503697985454</v>
      </c>
      <c r="C5" s="18">
        <f>IF(ISERROR('Eigen informatie GS &amp; warmtenet'!B58),0,'Eigen informatie GS &amp; warmtenet'!B58)</f>
        <v>0</v>
      </c>
      <c r="D5" s="31">
        <f>SUM(D6:D12)</f>
        <v>14182.997919806236</v>
      </c>
      <c r="E5" s="18">
        <f>SUM(E6:E12)</f>
        <v>132.17784648543619</v>
      </c>
      <c r="F5" s="18">
        <f>SUM(F6:F12)</f>
        <v>2021.4474433784521</v>
      </c>
      <c r="G5" s="19"/>
      <c r="H5" s="18"/>
      <c r="I5" s="18"/>
      <c r="J5" s="18">
        <f>SUM(J6:J12)</f>
        <v>0</v>
      </c>
      <c r="K5" s="18"/>
      <c r="L5" s="18"/>
      <c r="M5" s="18"/>
      <c r="N5" s="18">
        <f>SUM(N6:N12)</f>
        <v>616.40771934596887</v>
      </c>
      <c r="O5" s="18">
        <f>B38*B39*B40</f>
        <v>3.1266666666666669</v>
      </c>
      <c r="P5" s="18">
        <f>B46*B47*B48/1000-B46*B47*B48/1000/B49</f>
        <v>19.066666666666666</v>
      </c>
      <c r="R5" s="33"/>
    </row>
    <row r="6" spans="1:18">
      <c r="A6" s="33" t="s">
        <v>53</v>
      </c>
      <c r="B6" s="38">
        <f>B26</f>
        <v>3833.7430895208599</v>
      </c>
      <c r="C6" s="34"/>
      <c r="D6" s="38">
        <f>IF(ISERROR(TER_kantoor_gas_kWh/1000),0,TER_kantoor_gas_kWh/1000)*0.902</f>
        <v>4952.9491784562024</v>
      </c>
      <c r="E6" s="34">
        <f>$C$26*'E Balans VL '!I12/100/3.6*1000000</f>
        <v>6.2625346217831206</v>
      </c>
      <c r="F6" s="34">
        <f>$C$26*('E Balans VL '!L12+'E Balans VL '!N12)/100/3.6*1000000</f>
        <v>450.3959190567187</v>
      </c>
      <c r="G6" s="35"/>
      <c r="H6" s="34"/>
      <c r="I6" s="34"/>
      <c r="J6" s="34">
        <f>$C$26*('E Balans VL '!D12+'E Balans VL '!E12)/100/3.6*1000000</f>
        <v>0</v>
      </c>
      <c r="K6" s="34"/>
      <c r="L6" s="34"/>
      <c r="M6" s="34"/>
      <c r="N6" s="34">
        <f>$C$26*'E Balans VL '!Y12/100/3.6*1000000</f>
        <v>27.914553083963249</v>
      </c>
      <c r="O6" s="34"/>
      <c r="P6" s="34"/>
      <c r="R6" s="33"/>
    </row>
    <row r="7" spans="1:18">
      <c r="A7" s="33" t="s">
        <v>52</v>
      </c>
      <c r="B7" s="38">
        <f t="shared" ref="B7:B12" si="0">B27</f>
        <v>1821.7309457871499</v>
      </c>
      <c r="C7" s="34"/>
      <c r="D7" s="38">
        <f>IF(ISERROR(TER_horeca_gas_kWh/1000),0,TER_horeca_gas_kWh/1000)*0.902</f>
        <v>2009.793146563107</v>
      </c>
      <c r="E7" s="34">
        <f>$C$27*'E Balans VL '!I9/100/3.6*1000000</f>
        <v>94.250796345273514</v>
      </c>
      <c r="F7" s="34">
        <f>$C$27*('E Balans VL '!L9+'E Balans VL '!N9)/100/3.6*1000000</f>
        <v>414.47204814313483</v>
      </c>
      <c r="G7" s="35"/>
      <c r="H7" s="34"/>
      <c r="I7" s="34"/>
      <c r="J7" s="34">
        <f>$C$27*('E Balans VL '!D9+'E Balans VL '!E9)/100/3.6*1000000</f>
        <v>0</v>
      </c>
      <c r="K7" s="34"/>
      <c r="L7" s="34"/>
      <c r="M7" s="34"/>
      <c r="N7" s="34">
        <f>$C$27*'E Balans VL '!Y9/100/3.6*1000000</f>
        <v>0.19179642813219577</v>
      </c>
      <c r="O7" s="34"/>
      <c r="P7" s="34"/>
      <c r="R7" s="33"/>
    </row>
    <row r="8" spans="1:18">
      <c r="A8" s="6" t="s">
        <v>51</v>
      </c>
      <c r="B8" s="38">
        <f t="shared" si="0"/>
        <v>2369.1721439140902</v>
      </c>
      <c r="C8" s="34"/>
      <c r="D8" s="38">
        <f>IF(ISERROR(TER_handel_gas_kWh/1000),0,TER_handel_gas_kWh/1000)*0.902</f>
        <v>750.16975735509391</v>
      </c>
      <c r="E8" s="34">
        <f>$C$28*'E Balans VL '!I13/100/3.6*1000000</f>
        <v>12.444659525626484</v>
      </c>
      <c r="F8" s="34">
        <f>$C$28*('E Balans VL '!L13+'E Balans VL '!N13)/100/3.6*1000000</f>
        <v>446.66829360895298</v>
      </c>
      <c r="G8" s="35"/>
      <c r="H8" s="34"/>
      <c r="I8" s="34"/>
      <c r="J8" s="34">
        <f>$C$28*('E Balans VL '!D13+'E Balans VL '!E13)/100/3.6*1000000</f>
        <v>0</v>
      </c>
      <c r="K8" s="34"/>
      <c r="L8" s="34"/>
      <c r="M8" s="34"/>
      <c r="N8" s="34">
        <f>$C$28*'E Balans VL '!Y13/100/3.6*1000000</f>
        <v>11.745275340466849</v>
      </c>
      <c r="O8" s="34"/>
      <c r="P8" s="34"/>
      <c r="R8" s="33"/>
    </row>
    <row r="9" spans="1:18">
      <c r="A9" s="33" t="s">
        <v>50</v>
      </c>
      <c r="B9" s="38">
        <f t="shared" si="0"/>
        <v>442.471479855219</v>
      </c>
      <c r="C9" s="34"/>
      <c r="D9" s="38">
        <f>IF(ISERROR(TER_gezond_gas_kWh/1000),0,TER_gezond_gas_kWh/1000)*0.902</f>
        <v>2099.4450160527367</v>
      </c>
      <c r="E9" s="34">
        <f>$C$29*'E Balans VL '!I10/100/3.6*1000000</f>
        <v>0.39280117631493872</v>
      </c>
      <c r="F9" s="34">
        <f>$C$29*('E Balans VL '!L10+'E Balans VL '!N10)/100/3.6*1000000</f>
        <v>137.52686394825</v>
      </c>
      <c r="G9" s="35"/>
      <c r="H9" s="34"/>
      <c r="I9" s="34"/>
      <c r="J9" s="34">
        <f>$C$29*('E Balans VL '!D10+'E Balans VL '!E10)/100/3.6*1000000</f>
        <v>0</v>
      </c>
      <c r="K9" s="34"/>
      <c r="L9" s="34"/>
      <c r="M9" s="34"/>
      <c r="N9" s="34">
        <f>$C$29*'E Balans VL '!Y10/100/3.6*1000000</f>
        <v>3.4154337718980372</v>
      </c>
      <c r="O9" s="34"/>
      <c r="P9" s="34"/>
      <c r="R9" s="33"/>
    </row>
    <row r="10" spans="1:18">
      <c r="A10" s="33" t="s">
        <v>49</v>
      </c>
      <c r="B10" s="38">
        <f t="shared" si="0"/>
        <v>1064.2311615430999</v>
      </c>
      <c r="C10" s="34"/>
      <c r="D10" s="38">
        <f>IF(ISERROR(TER_ander_gas_kWh/1000),0,TER_ander_gas_kWh/1000)*0.902</f>
        <v>337.68175245591738</v>
      </c>
      <c r="E10" s="34">
        <f>$C$30*'E Balans VL '!I14/100/3.6*1000000</f>
        <v>8.6803321809925524</v>
      </c>
      <c r="F10" s="34">
        <f>$C$30*('E Balans VL '!L14+'E Balans VL '!N14)/100/3.6*1000000</f>
        <v>310.203624938112</v>
      </c>
      <c r="G10" s="35"/>
      <c r="H10" s="34"/>
      <c r="I10" s="34"/>
      <c r="J10" s="34">
        <f>$C$30*('E Balans VL '!D14+'E Balans VL '!E14)/100/3.6*1000000</f>
        <v>0</v>
      </c>
      <c r="K10" s="34"/>
      <c r="L10" s="34"/>
      <c r="M10" s="34"/>
      <c r="N10" s="34">
        <f>$C$30*'E Balans VL '!Y14/100/3.6*1000000</f>
        <v>505.46236211326641</v>
      </c>
      <c r="O10" s="34"/>
      <c r="P10" s="34"/>
      <c r="R10" s="33"/>
    </row>
    <row r="11" spans="1:18">
      <c r="A11" s="33" t="s">
        <v>54</v>
      </c>
      <c r="B11" s="38">
        <f t="shared" si="0"/>
        <v>64.397675455213005</v>
      </c>
      <c r="C11" s="34"/>
      <c r="D11" s="38">
        <f>IF(ISERROR(TER_onderwijs_gas_kWh/1000),0,TER_onderwijs_gas_kWh/1000)*0.902</f>
        <v>0</v>
      </c>
      <c r="E11" s="34">
        <f>$C$31*'E Balans VL '!I11/100/3.6*1000000</f>
        <v>5.3724813598893618E-2</v>
      </c>
      <c r="F11" s="34">
        <f>$C$31*('E Balans VL '!L11+'E Balans VL '!N11)/100/3.6*1000000</f>
        <v>33.699391485106929</v>
      </c>
      <c r="G11" s="35"/>
      <c r="H11" s="34"/>
      <c r="I11" s="34"/>
      <c r="J11" s="34">
        <f>$C$31*('E Balans VL '!D11+'E Balans VL '!E11)/100/3.6*1000000</f>
        <v>0</v>
      </c>
      <c r="K11" s="34"/>
      <c r="L11" s="34"/>
      <c r="M11" s="34"/>
      <c r="N11" s="34">
        <f>$C$31*'E Balans VL '!Y11/100/3.6*1000000</f>
        <v>0.28352898918114011</v>
      </c>
      <c r="O11" s="34"/>
      <c r="P11" s="34"/>
      <c r="R11" s="33"/>
    </row>
    <row r="12" spans="1:18">
      <c r="A12" s="33" t="s">
        <v>249</v>
      </c>
      <c r="B12" s="38">
        <f t="shared" si="0"/>
        <v>1172.7572019098202</v>
      </c>
      <c r="C12" s="34"/>
      <c r="D12" s="38">
        <f>IF(ISERROR(TER_rest_gas_kWh/1000),0,TER_rest_gas_kWh/1000)*0.902</f>
        <v>4032.9590689231795</v>
      </c>
      <c r="E12" s="34">
        <f>$C$32*'E Balans VL '!I8/100/3.6*1000000</f>
        <v>10.092997821846703</v>
      </c>
      <c r="F12" s="34">
        <f>$C$32*('E Balans VL '!L8+'E Balans VL '!N8)/100/3.6*1000000</f>
        <v>228.48130219817702</v>
      </c>
      <c r="G12" s="35"/>
      <c r="H12" s="34"/>
      <c r="I12" s="34"/>
      <c r="J12" s="34">
        <f>$C$32*('E Balans VL '!D8+'E Balans VL '!E8)/100/3.6*1000000</f>
        <v>0</v>
      </c>
      <c r="K12" s="34"/>
      <c r="L12" s="34"/>
      <c r="M12" s="34"/>
      <c r="N12" s="34">
        <f>$C$32*'E Balans VL '!Y8/100/3.6*1000000</f>
        <v>67.394769619060938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10768.503697985454</v>
      </c>
      <c r="C16" s="22">
        <f t="shared" ca="1" si="1"/>
        <v>0</v>
      </c>
      <c r="D16" s="22">
        <f t="shared" ca="1" si="1"/>
        <v>14182.997919806236</v>
      </c>
      <c r="E16" s="22">
        <f t="shared" si="1"/>
        <v>132.17784648543619</v>
      </c>
      <c r="F16" s="22">
        <f t="shared" ca="1" si="1"/>
        <v>2021.4474433784521</v>
      </c>
      <c r="G16" s="22">
        <f t="shared" si="1"/>
        <v>0</v>
      </c>
      <c r="H16" s="22">
        <f t="shared" si="1"/>
        <v>0</v>
      </c>
      <c r="I16" s="22">
        <f t="shared" si="1"/>
        <v>0</v>
      </c>
      <c r="J16" s="22">
        <f t="shared" si="1"/>
        <v>0</v>
      </c>
      <c r="K16" s="22">
        <f t="shared" si="1"/>
        <v>0</v>
      </c>
      <c r="L16" s="22">
        <f t="shared" ca="1" si="1"/>
        <v>0</v>
      </c>
      <c r="M16" s="22">
        <f t="shared" si="1"/>
        <v>0</v>
      </c>
      <c r="N16" s="22">
        <f t="shared" ca="1" si="1"/>
        <v>616.40771934596887</v>
      </c>
      <c r="O16" s="22">
        <f>O5</f>
        <v>3.1266666666666669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0.2085951232603287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2246.2573562105813</v>
      </c>
      <c r="C20" s="24">
        <f t="shared" ref="C20:P20" ca="1" si="2">C16*C18</f>
        <v>0</v>
      </c>
      <c r="D20" s="24">
        <f t="shared" ca="1" si="2"/>
        <v>2864.9655798008598</v>
      </c>
      <c r="E20" s="24">
        <f t="shared" si="2"/>
        <v>30.004371152194018</v>
      </c>
      <c r="F20" s="24">
        <f t="shared" ca="1" si="2"/>
        <v>539.72646738204674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3833.7430895208599</v>
      </c>
      <c r="C26" s="40">
        <f>IF(ISERROR(B26*3.6/1000000/'E Balans VL '!Z12*100),0,B26*3.6/1000000/'E Balans VL '!Z12*100)</f>
        <v>8.1256400822706687E-2</v>
      </c>
      <c r="D26" s="236" t="s">
        <v>660</v>
      </c>
      <c r="F26" s="6"/>
    </row>
    <row r="27" spans="1:18">
      <c r="A27" s="231" t="s">
        <v>52</v>
      </c>
      <c r="B27" s="34">
        <f>IF(ISERROR(TER_horeca_ele_kWh/1000),0,TER_horeca_ele_kWh/1000)</f>
        <v>1821.7309457871499</v>
      </c>
      <c r="C27" s="40">
        <f>IF(ISERROR(B27*3.6/1000000/'E Balans VL '!Z9*100),0,B27*3.6/1000000/'E Balans VL '!Z9*100)</f>
        <v>0.14295385947741301</v>
      </c>
      <c r="D27" s="236" t="s">
        <v>660</v>
      </c>
      <c r="F27" s="6"/>
    </row>
    <row r="28" spans="1:18">
      <c r="A28" s="171" t="s">
        <v>51</v>
      </c>
      <c r="B28" s="34">
        <f>IF(ISERROR(TER_handel_ele_kWh/1000),0,TER_handel_ele_kWh/1000)</f>
        <v>2369.1721439140902</v>
      </c>
      <c r="C28" s="40">
        <f>IF(ISERROR(B28*3.6/1000000/'E Balans VL '!Z13*100),0,B28*3.6/1000000/'E Balans VL '!Z13*100)</f>
        <v>6.6162555309491194E-2</v>
      </c>
      <c r="D28" s="236" t="s">
        <v>660</v>
      </c>
      <c r="F28" s="6"/>
    </row>
    <row r="29" spans="1:18">
      <c r="A29" s="231" t="s">
        <v>50</v>
      </c>
      <c r="B29" s="34">
        <f>IF(ISERROR(TER_gezond_ele_kWh/1000),0,TER_gezond_ele_kWh/1000)</f>
        <v>442.471479855219</v>
      </c>
      <c r="C29" s="40">
        <f>IF(ISERROR(B29*3.6/1000000/'E Balans VL '!Z10*100),0,B29*3.6/1000000/'E Balans VL '!Z10*100)</f>
        <v>5.0706934049457669E-2</v>
      </c>
      <c r="D29" s="236" t="s">
        <v>660</v>
      </c>
      <c r="F29" s="6"/>
    </row>
    <row r="30" spans="1:18">
      <c r="A30" s="231" t="s">
        <v>49</v>
      </c>
      <c r="B30" s="34">
        <f>IF(ISERROR(TER_ander_ele_kWh/1000),0,TER_ander_ele_kWh/1000)</f>
        <v>1064.2311615430999</v>
      </c>
      <c r="C30" s="40">
        <f>IF(ISERROR(B30*3.6/1000000/'E Balans VL '!Z14*100),0,B30*3.6/1000000/'E Balans VL '!Z14*100)</f>
        <v>7.9356570185312392E-2</v>
      </c>
      <c r="D30" s="236" t="s">
        <v>660</v>
      </c>
      <c r="F30" s="6"/>
    </row>
    <row r="31" spans="1:18">
      <c r="A31" s="231" t="s">
        <v>54</v>
      </c>
      <c r="B31" s="34">
        <f>IF(ISERROR(TER_onderwijs_ele_kWh/1000),0,TER_onderwijs_ele_kWh/1000)</f>
        <v>64.397675455213005</v>
      </c>
      <c r="C31" s="40">
        <f>IF(ISERROR(B31*3.6/1000000/'E Balans VL '!Z11*100),0,B31*3.6/1000000/'E Balans VL '!Z11*100)</f>
        <v>1.8404997674854925E-2</v>
      </c>
      <c r="D31" s="236" t="s">
        <v>660</v>
      </c>
    </row>
    <row r="32" spans="1:18">
      <c r="A32" s="231" t="s">
        <v>249</v>
      </c>
      <c r="B32" s="34">
        <f>IF(ISERROR(TER_rest_ele_kWh/1000),0,TER_rest_ele_kWh/1000)</f>
        <v>1172.7572019098202</v>
      </c>
      <c r="C32" s="40">
        <f>IF(ISERROR(B32*3.6/1000000/'E Balans VL '!Z8*100),0,B32*3.6/1000000/'E Balans VL '!Z8*100)</f>
        <v>9.6627899454095958E-3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1728.7901167479808</v>
      </c>
      <c r="C5" s="18">
        <f>IF(ISERROR('Eigen informatie GS &amp; warmtenet'!B59),0,'Eigen informatie GS &amp; warmtenet'!B59)</f>
        <v>0</v>
      </c>
      <c r="D5" s="31">
        <f>SUM(D6:D15)</f>
        <v>1027.0522266139333</v>
      </c>
      <c r="E5" s="18">
        <f>SUM(E6:E15)</f>
        <v>16.61487738514024</v>
      </c>
      <c r="F5" s="18">
        <f>SUM(F6:F15)</f>
        <v>675.25432862381422</v>
      </c>
      <c r="G5" s="19"/>
      <c r="H5" s="18"/>
      <c r="I5" s="18"/>
      <c r="J5" s="18">
        <f>SUM(J6:J15)</f>
        <v>3.9039000399182151</v>
      </c>
      <c r="K5" s="18"/>
      <c r="L5" s="18"/>
      <c r="M5" s="18"/>
      <c r="N5" s="18">
        <f>SUM(N6:N15)</f>
        <v>66.805603942855285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41.370351641622804</v>
      </c>
      <c r="C8" s="34"/>
      <c r="D8" s="38">
        <f>IF( ISERROR(IND_metaal_Gas_kWH/1000),0,IND_metaal_Gas_kWH/1000)*0.902</f>
        <v>0</v>
      </c>
      <c r="E8" s="34">
        <f>C30*'E Balans VL '!I18/100/3.6*1000000</f>
        <v>0.37675233695178573</v>
      </c>
      <c r="F8" s="34">
        <f>C30*'E Balans VL '!L18/100/3.6*1000000+C30*'E Balans VL '!N18/100/3.6*1000000</f>
        <v>5.45643520968361</v>
      </c>
      <c r="G8" s="35"/>
      <c r="H8" s="34"/>
      <c r="I8" s="34"/>
      <c r="J8" s="41">
        <f>C30*'E Balans VL '!D18/100/3.6*1000000+C30*'E Balans VL '!E18/100/3.6*1000000</f>
        <v>0.67841369933499929</v>
      </c>
      <c r="K8" s="34"/>
      <c r="L8" s="34"/>
      <c r="M8" s="34"/>
      <c r="N8" s="34">
        <f>C30*'E Balans VL '!Y18/100/3.6*1000000</f>
        <v>0.14217346426222516</v>
      </c>
      <c r="O8" s="34"/>
      <c r="P8" s="34"/>
      <c r="R8" s="33"/>
    </row>
    <row r="9" spans="1:18">
      <c r="A9" s="6" t="s">
        <v>32</v>
      </c>
      <c r="B9" s="38">
        <f t="shared" si="0"/>
        <v>613.40571048576305</v>
      </c>
      <c r="C9" s="34"/>
      <c r="D9" s="38">
        <f>IF( ISERROR(IND_andere_gas_kWh/1000),0,IND_andere_gas_kWh/1000)*0.902</f>
        <v>556.5262606225233</v>
      </c>
      <c r="E9" s="34">
        <f>C31*'E Balans VL '!I19/100/3.6*1000000</f>
        <v>3.5455766725091822</v>
      </c>
      <c r="F9" s="34">
        <f>C31*'E Balans VL '!L19/100/3.6*1000000+C31*'E Balans VL '!N19/100/3.6*1000000</f>
        <v>487.9937586062253</v>
      </c>
      <c r="G9" s="35"/>
      <c r="H9" s="34"/>
      <c r="I9" s="34"/>
      <c r="J9" s="41">
        <f>C31*'E Balans VL '!D19/100/3.6*1000000+C31*'E Balans VL '!E19/100/3.6*1000000</f>
        <v>5.8021366694305805E-2</v>
      </c>
      <c r="K9" s="34"/>
      <c r="L9" s="34"/>
      <c r="M9" s="34"/>
      <c r="N9" s="34">
        <f>C31*'E Balans VL '!Y19/100/3.6*1000000</f>
        <v>46.47476542638254</v>
      </c>
      <c r="O9" s="34"/>
      <c r="P9" s="34"/>
      <c r="R9" s="33"/>
    </row>
    <row r="10" spans="1:18">
      <c r="A10" s="6" t="s">
        <v>40</v>
      </c>
      <c r="B10" s="38">
        <f t="shared" si="0"/>
        <v>494.73906120378399</v>
      </c>
      <c r="C10" s="34"/>
      <c r="D10" s="38">
        <f>IF( ISERROR(IND_voed_gas_kWh/1000),0,IND_voed_gas_kWh/1000)*0.902</f>
        <v>118.41712094272685</v>
      </c>
      <c r="E10" s="34">
        <f>C32*'E Balans VL '!I20/100/3.6*1000000</f>
        <v>4.8645792838786024</v>
      </c>
      <c r="F10" s="34">
        <f>C32*'E Balans VL '!L20/100/3.6*1000000+C32*'E Balans VL '!N20/100/3.6*1000000</f>
        <v>54.947230399712723</v>
      </c>
      <c r="G10" s="35"/>
      <c r="H10" s="34"/>
      <c r="I10" s="34"/>
      <c r="J10" s="41">
        <f>C32*'E Balans VL '!D20/100/3.6*1000000+C32*'E Balans VL '!E20/100/3.6*1000000</f>
        <v>1.949991238223319E-3</v>
      </c>
      <c r="K10" s="34"/>
      <c r="L10" s="34"/>
      <c r="M10" s="34"/>
      <c r="N10" s="34">
        <f>C32*'E Balans VL '!Y20/100/3.6*1000000</f>
        <v>7.3259217474879588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160.257169600792</v>
      </c>
      <c r="C12" s="34"/>
      <c r="D12" s="38">
        <f>IF( ISERROR(IND_min_gas_kWh/1000),0,IND_min_gas_kWh/1000)*0.902</f>
        <v>0</v>
      </c>
      <c r="E12" s="34">
        <f>C34*'E Balans VL '!I22/100/3.6*1000000</f>
        <v>4.0628044262245764</v>
      </c>
      <c r="F12" s="34">
        <f>C34*'E Balans VL '!L22/100/3.6*1000000+C34*'E Balans VL '!N22/100/3.6*1000000</f>
        <v>44.343717419371295</v>
      </c>
      <c r="G12" s="35"/>
      <c r="H12" s="34"/>
      <c r="I12" s="34"/>
      <c r="J12" s="41">
        <f>C34*'E Balans VL '!D22/100/3.6*1000000+C34*'E Balans VL '!E22/100/3.6*1000000</f>
        <v>1.0583705518705537</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419.01782381601902</v>
      </c>
      <c r="C15" s="34"/>
      <c r="D15" s="38">
        <f>IF( ISERROR(IND_rest_gas_kWh/1000),0,IND_rest_gas_kWh/1000)*0.902</f>
        <v>352.10884504868307</v>
      </c>
      <c r="E15" s="34">
        <f>C37*'E Balans VL '!I15/100/3.6*1000000</f>
        <v>3.7651646655760942</v>
      </c>
      <c r="F15" s="34">
        <f>C37*'E Balans VL '!L15/100/3.6*1000000+C37*'E Balans VL '!N15/100/3.6*1000000</f>
        <v>82.513186988821346</v>
      </c>
      <c r="G15" s="35"/>
      <c r="H15" s="34"/>
      <c r="I15" s="34"/>
      <c r="J15" s="41">
        <f>C37*'E Balans VL '!D15/100/3.6*1000000+C37*'E Balans VL '!E15/100/3.6*1000000</f>
        <v>2.1071444307801328</v>
      </c>
      <c r="K15" s="34"/>
      <c r="L15" s="34"/>
      <c r="M15" s="34"/>
      <c r="N15" s="34">
        <f>C37*'E Balans VL '!Y15/100/3.6*1000000</f>
        <v>12.86274330472256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1728.7901167479808</v>
      </c>
      <c r="C18" s="22">
        <f>C5+C16</f>
        <v>0</v>
      </c>
      <c r="D18" s="22">
        <f>MAX((D5+D16),0)</f>
        <v>1027.0522266139333</v>
      </c>
      <c r="E18" s="22">
        <f>MAX((E5+E16),0)</f>
        <v>16.61487738514024</v>
      </c>
      <c r="F18" s="22">
        <f>MAX((F5+F16),0)</f>
        <v>675.25432862381422</v>
      </c>
      <c r="G18" s="22"/>
      <c r="H18" s="22"/>
      <c r="I18" s="22"/>
      <c r="J18" s="22">
        <f>MAX((J5+J16),0)</f>
        <v>3.9039000399182151</v>
      </c>
      <c r="K18" s="22"/>
      <c r="L18" s="22">
        <f>MAX((L5+L16),0)</f>
        <v>0</v>
      </c>
      <c r="M18" s="22"/>
      <c r="N18" s="22">
        <f>MAX((N5+N16),0)</f>
        <v>66.805603942855285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0.2085951232603287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360.61718749428309</v>
      </c>
      <c r="C22" s="24">
        <f ca="1">C18*C20</f>
        <v>0</v>
      </c>
      <c r="D22" s="24">
        <f>D18*D20</f>
        <v>207.46454977601454</v>
      </c>
      <c r="E22" s="24">
        <f>E18*E20</f>
        <v>3.7715771664268347</v>
      </c>
      <c r="F22" s="24">
        <f>F18*F20</f>
        <v>180.29290574255842</v>
      </c>
      <c r="G22" s="24"/>
      <c r="H22" s="24"/>
      <c r="I22" s="24"/>
      <c r="J22" s="24">
        <f>J18*J20</f>
        <v>1.381980614131048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41.370351641622804</v>
      </c>
      <c r="C30" s="40">
        <f>IF(ISERROR(B30*3.6/1000000/'E Balans VL '!Z18*100),0,B30*3.6/1000000/'E Balans VL '!Z18*100)</f>
        <v>2.3019834276883904E-3</v>
      </c>
      <c r="D30" s="236" t="s">
        <v>660</v>
      </c>
    </row>
    <row r="31" spans="1:18">
      <c r="A31" s="6" t="s">
        <v>32</v>
      </c>
      <c r="B31" s="38">
        <f>IF( ISERROR(IND_ander_ele_kWh/1000),0,IND_ander_ele_kWh/1000)</f>
        <v>613.40571048576305</v>
      </c>
      <c r="C31" s="40">
        <f>IF(ISERROR(B31*3.6/1000000/'E Balans VL '!Z19*100),0,B31*3.6/1000000/'E Balans VL '!Z19*100)</f>
        <v>2.851562049139944E-2</v>
      </c>
      <c r="D31" s="236" t="s">
        <v>660</v>
      </c>
    </row>
    <row r="32" spans="1:18">
      <c r="A32" s="171" t="s">
        <v>40</v>
      </c>
      <c r="B32" s="38">
        <f>IF( ISERROR(IND_voed_ele_kWh/1000),0,IND_voed_ele_kWh/1000)</f>
        <v>494.73906120378399</v>
      </c>
      <c r="C32" s="40">
        <f>IF(ISERROR(B32*3.6/1000000/'E Balans VL '!Z20*100),0,B32*3.6/1000000/'E Balans VL '!Z20*100)</f>
        <v>1.7488026645704466E-2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160.257169600792</v>
      </c>
      <c r="C34" s="40">
        <f>IF(ISERROR(B34*3.6/1000000/'E Balans VL '!Z22*100),0,B34*3.6/1000000/'E Balans VL '!Z22*100)</f>
        <v>3.2207171990250166E-2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419.01782381601902</v>
      </c>
      <c r="C37" s="40">
        <f>IF(ISERROR(B37*3.6/1000000/'E Balans VL '!Z15*100),0,B37*3.6/1000000/'E Balans VL '!Z15*100)</f>
        <v>3.1642035527362031E-3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1081.9596957055919</v>
      </c>
      <c r="C5" s="18">
        <f>'Eigen informatie GS &amp; warmtenet'!B60</f>
        <v>0</v>
      </c>
      <c r="D5" s="31">
        <f>IF(ISERROR(SUM(LB_lb_gas_kWh,LB_rest_gas_kWh)/1000),0,SUM(LB_lb_gas_kWh,LB_rest_gas_kWh)/1000)*0.902</f>
        <v>660.66813590665924</v>
      </c>
      <c r="E5" s="18">
        <f>B17*'E Balans VL '!I25/3.6*1000000/100</f>
        <v>10.684548920852606</v>
      </c>
      <c r="F5" s="18">
        <f>B17*('E Balans VL '!L25/3.6*1000000+'E Balans VL '!N25/3.6*1000000)/100</f>
        <v>3609.7038292119419</v>
      </c>
      <c r="G5" s="19"/>
      <c r="H5" s="18"/>
      <c r="I5" s="18"/>
      <c r="J5" s="18">
        <f>('E Balans VL '!D25+'E Balans VL '!E25)/3.6*1000000*landbouw!B17/100</f>
        <v>107.9467378246305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1081.9596957055919</v>
      </c>
      <c r="C8" s="22">
        <f>C5+C6</f>
        <v>0</v>
      </c>
      <c r="D8" s="22">
        <f>MAX((D5+D6),0)</f>
        <v>660.66813590665924</v>
      </c>
      <c r="E8" s="22">
        <f>MAX((E5+E6),0)</f>
        <v>10.684548920852606</v>
      </c>
      <c r="F8" s="22">
        <f>MAX((F5+F6),0)</f>
        <v>3609.7038292119419</v>
      </c>
      <c r="G8" s="22"/>
      <c r="H8" s="22"/>
      <c r="I8" s="22"/>
      <c r="J8" s="22">
        <f>MAX((J5+J6),0)</f>
        <v>107.9467378246305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0.2085951232603287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225.69151608841568</v>
      </c>
      <c r="C12" s="24">
        <f ca="1">C8*C10</f>
        <v>0</v>
      </c>
      <c r="D12" s="24">
        <f>D8*D10</f>
        <v>133.45496345314518</v>
      </c>
      <c r="E12" s="24">
        <f>E8*E10</f>
        <v>2.4253926050335415</v>
      </c>
      <c r="F12" s="24">
        <f>F8*F10</f>
        <v>963.79092239958857</v>
      </c>
      <c r="G12" s="24"/>
      <c r="H12" s="24"/>
      <c r="I12" s="24"/>
      <c r="J12" s="24">
        <f>J8*J10</f>
        <v>38.213145189919196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0.14648005363528191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153.99870501808053</v>
      </c>
      <c r="C26" s="246">
        <f>B26*'GWP N2O_CH4'!B5</f>
        <v>3233.9728053796912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87.531755003219814</v>
      </c>
      <c r="C27" s="246">
        <f>B27*'GWP N2O_CH4'!B5</f>
        <v>1838.1668550676161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2.5193256061295655</v>
      </c>
      <c r="C28" s="246">
        <f>B28*'GWP N2O_CH4'!B4</f>
        <v>780.99093790016525</v>
      </c>
      <c r="D28" s="51"/>
    </row>
    <row r="29" spans="1:4">
      <c r="A29" s="42" t="s">
        <v>266</v>
      </c>
      <c r="B29" s="246">
        <f>B34*'ha_N2O bodem landbouw'!B4</f>
        <v>7.5891420392972817</v>
      </c>
      <c r="C29" s="246">
        <f>B29*'GWP N2O_CH4'!B4</f>
        <v>2352.6340321821572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2.048829442393795E-3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5.0019209242432893E-5</v>
      </c>
      <c r="C5" s="433" t="s">
        <v>204</v>
      </c>
      <c r="D5" s="418">
        <f>SUM(D6:D11)</f>
        <v>5.4607188641496223E-5</v>
      </c>
      <c r="E5" s="418">
        <f>SUM(E6:E11)</f>
        <v>4.1500082244490455E-3</v>
      </c>
      <c r="F5" s="431" t="s">
        <v>204</v>
      </c>
      <c r="G5" s="418">
        <f>SUM(G6:G11)</f>
        <v>1.1945475070078133</v>
      </c>
      <c r="H5" s="418">
        <f>SUM(H6:H11)</f>
        <v>0.14584440335425139</v>
      </c>
      <c r="I5" s="433" t="s">
        <v>204</v>
      </c>
      <c r="J5" s="433" t="s">
        <v>204</v>
      </c>
      <c r="K5" s="433" t="s">
        <v>204</v>
      </c>
      <c r="L5" s="433" t="s">
        <v>204</v>
      </c>
      <c r="M5" s="418">
        <f>SUM(M6:M11)</f>
        <v>5.9832593878586374E-2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5.553133500163359E-6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6.4406246280192291E-6</v>
      </c>
      <c r="E6" s="421">
        <f>vkm_GW_PW*SUMIFS(TableVerdeelsleutelVkm[LPG],TableVerdeelsleutelVkm[Voertuigtype],"Lichte voertuigen")*SUMIFS(TableECFTransport[EnergieConsumptieFactor (PJ per km)],TableECFTransport[Index],CONCATENATE($A6,"_LPG_LPG"))</f>
        <v>4.1687796241448899E-4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6.5729875762748316E-2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1.662067305459336E-2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3.686016070043993E-3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1.861060493363358E-7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3.0785835074882282E-2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9.5943955254377989E-7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1.3698753398584259E-3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3.6180640142617932E-6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6.8391124181772902E-6</v>
      </c>
      <c r="E8" s="421">
        <f>vkm_NGW_PW*SUMIFS(TableVerdeelsleutelVkm[LPG],TableVerdeelsleutelVkm[Voertuigtype],"Lichte voertuigen")*SUMIFS(TableECFTransport[EnergieConsumptieFactor (PJ per km)],TableECFTransport[Index],CONCATENATE($A8,"_LPG_LPG"))</f>
        <v>4.1835643600508869E-4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6.2370733335473057E-2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1.6797882750384113E-2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3.544666642492123E-3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3.5344133541857916E-8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7.4974367850565394E-3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2.1993326107161998E-7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3.336123377997103E-4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3.7105997237593052E-5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4.1327451595299708E-5</v>
      </c>
      <c r="E10" s="421">
        <f>vkm_SW_PW*SUMIFS(TableVerdeelsleutelVkm[LPG],TableVerdeelsleutelVkm[Voertuigtype],"Lichte voertuigen")*SUMIFS(TableECFTransport[EnergieConsumptieFactor (PJ per km)],TableECFTransport[Index],CONCATENATE($A10,"_LPG_LPG"))</f>
        <v>3.3147738260294675E-3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0.48264362833183844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0.11240598718813023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2.662437799338848E-2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3.5205643075364971E-6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0.54551999771781468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1.8680988330083915E-5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2.427404549500364E-2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13.894224789564692</v>
      </c>
      <c r="C14" s="22"/>
      <c r="D14" s="22">
        <f t="shared" ref="D14:M14" si="0">((D5)*10^9/3600)+D12</f>
        <v>15.168663511526727</v>
      </c>
      <c r="E14" s="22">
        <f t="shared" si="0"/>
        <v>1152.780062346957</v>
      </c>
      <c r="F14" s="22"/>
      <c r="G14" s="22">
        <f t="shared" si="0"/>
        <v>331818.75194661476</v>
      </c>
      <c r="H14" s="22">
        <f t="shared" si="0"/>
        <v>40512.334265069832</v>
      </c>
      <c r="I14" s="22"/>
      <c r="J14" s="22"/>
      <c r="K14" s="22"/>
      <c r="L14" s="22"/>
      <c r="M14" s="22">
        <f t="shared" si="0"/>
        <v>16620.164966273995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0.2085951232603287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2.8982675325859617</v>
      </c>
      <c r="C18" s="24"/>
      <c r="D18" s="24">
        <f t="shared" ref="D18:M18" si="1">D14*D16</f>
        <v>3.0640700293283989</v>
      </c>
      <c r="E18" s="24">
        <f t="shared" si="1"/>
        <v>261.68107415275927</v>
      </c>
      <c r="F18" s="24"/>
      <c r="G18" s="24">
        <f t="shared" si="1"/>
        <v>88595.60676974614</v>
      </c>
      <c r="H18" s="24">
        <f t="shared" si="1"/>
        <v>10087.571232002389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1.202371947604357E-5</v>
      </c>
      <c r="C50" s="316">
        <f t="shared" ref="C50:P50" si="2">SUM(C51:C52)</f>
        <v>0</v>
      </c>
      <c r="D50" s="316">
        <f t="shared" si="2"/>
        <v>0</v>
      </c>
      <c r="E50" s="316">
        <f t="shared" si="2"/>
        <v>0</v>
      </c>
      <c r="F50" s="316">
        <f t="shared" si="2"/>
        <v>0</v>
      </c>
      <c r="G50" s="316">
        <f t="shared" si="2"/>
        <v>2.3981546214695082E-3</v>
      </c>
      <c r="H50" s="316">
        <f t="shared" si="2"/>
        <v>0</v>
      </c>
      <c r="I50" s="316">
        <f t="shared" si="2"/>
        <v>0</v>
      </c>
      <c r="J50" s="316">
        <f t="shared" si="2"/>
        <v>0</v>
      </c>
      <c r="K50" s="316">
        <f t="shared" si="2"/>
        <v>0</v>
      </c>
      <c r="L50" s="316">
        <f t="shared" si="2"/>
        <v>0</v>
      </c>
      <c r="M50" s="316">
        <f t="shared" si="2"/>
        <v>1.0599588013133838E-4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1.202371947604357E-5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2.3981546214695082E-3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1.0599588013133838E-4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3.3399220766787696</v>
      </c>
      <c r="C54" s="22">
        <f t="shared" ref="C54:P54" si="3">(C50)*10^9/3600</f>
        <v>0</v>
      </c>
      <c r="D54" s="22">
        <f t="shared" si="3"/>
        <v>0</v>
      </c>
      <c r="E54" s="22">
        <f t="shared" si="3"/>
        <v>0</v>
      </c>
      <c r="F54" s="22">
        <f t="shared" si="3"/>
        <v>0</v>
      </c>
      <c r="G54" s="22">
        <f t="shared" si="3"/>
        <v>666.1540615193079</v>
      </c>
      <c r="H54" s="22">
        <f t="shared" si="3"/>
        <v>0</v>
      </c>
      <c r="I54" s="22">
        <f t="shared" si="3"/>
        <v>0</v>
      </c>
      <c r="J54" s="22">
        <f t="shared" si="3"/>
        <v>0</v>
      </c>
      <c r="K54" s="22">
        <f t="shared" si="3"/>
        <v>0</v>
      </c>
      <c r="L54" s="22">
        <f t="shared" si="3"/>
        <v>0</v>
      </c>
      <c r="M54" s="22">
        <f t="shared" si="3"/>
        <v>29.443300036482881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0.2085951232603287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0.69669145726470094</v>
      </c>
      <c r="C58" s="24">
        <f t="shared" ref="C58:P58" ca="1" si="4">C54*C56</f>
        <v>0</v>
      </c>
      <c r="D58" s="24">
        <f t="shared" si="4"/>
        <v>0</v>
      </c>
      <c r="E58" s="24">
        <f t="shared" si="4"/>
        <v>0</v>
      </c>
      <c r="F58" s="24">
        <f t="shared" si="4"/>
        <v>0</v>
      </c>
      <c r="G58" s="24">
        <f t="shared" si="4"/>
        <v>177.86313442565523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2171.6829724865452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2171.6829724865452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11600.266697985455</v>
      </c>
      <c r="D10" s="639">
        <f ca="1">tertiair!C16</f>
        <v>0</v>
      </c>
      <c r="E10" s="639">
        <f ca="1">tertiair!D16</f>
        <v>14182.997919806236</v>
      </c>
      <c r="F10" s="639">
        <f>tertiair!E16</f>
        <v>132.17784648543619</v>
      </c>
      <c r="G10" s="639">
        <f ca="1">tertiair!F16</f>
        <v>2021.4474433784521</v>
      </c>
      <c r="H10" s="639">
        <f>tertiair!G16</f>
        <v>0</v>
      </c>
      <c r="I10" s="639">
        <f>tertiair!H16</f>
        <v>0</v>
      </c>
      <c r="J10" s="639">
        <f>tertiair!I16</f>
        <v>0</v>
      </c>
      <c r="K10" s="639">
        <f>tertiair!J16</f>
        <v>0</v>
      </c>
      <c r="L10" s="639">
        <f>tertiair!K16</f>
        <v>0</v>
      </c>
      <c r="M10" s="639">
        <f ca="1">tertiair!L16</f>
        <v>0</v>
      </c>
      <c r="N10" s="639">
        <f>tertiair!M16</f>
        <v>0</v>
      </c>
      <c r="O10" s="639">
        <f ca="1">tertiair!N16</f>
        <v>616.40771934596887</v>
      </c>
      <c r="P10" s="639">
        <f>tertiair!O16</f>
        <v>3.1266666666666669</v>
      </c>
      <c r="Q10" s="640">
        <f>tertiair!P16</f>
        <v>19.066666666666666</v>
      </c>
      <c r="R10" s="642">
        <f ca="1">SUM(C10:Q10)</f>
        <v>28575.490960334882</v>
      </c>
      <c r="S10" s="68"/>
    </row>
    <row r="11" spans="1:19" s="443" customFormat="1">
      <c r="A11" s="753" t="s">
        <v>214</v>
      </c>
      <c r="B11" s="758"/>
      <c r="C11" s="639">
        <f>huishoudens!B8</f>
        <v>23229.878681160604</v>
      </c>
      <c r="D11" s="639">
        <f>huishoudens!C8</f>
        <v>0</v>
      </c>
      <c r="E11" s="639">
        <f>huishoudens!D8</f>
        <v>36956.525724920059</v>
      </c>
      <c r="F11" s="639">
        <f>huishoudens!E8</f>
        <v>1147.5956353267909</v>
      </c>
      <c r="G11" s="639">
        <f>huishoudens!F8</f>
        <v>34986.859111454978</v>
      </c>
      <c r="H11" s="639">
        <f>huishoudens!G8</f>
        <v>0</v>
      </c>
      <c r="I11" s="639">
        <f>huishoudens!H8</f>
        <v>0</v>
      </c>
      <c r="J11" s="639">
        <f>huishoudens!I8</f>
        <v>0</v>
      </c>
      <c r="K11" s="639">
        <f>huishoudens!J8</f>
        <v>634.82436755204992</v>
      </c>
      <c r="L11" s="639">
        <f>huishoudens!K8</f>
        <v>0</v>
      </c>
      <c r="M11" s="639">
        <f>huishoudens!L8</f>
        <v>0</v>
      </c>
      <c r="N11" s="639">
        <f>huishoudens!M8</f>
        <v>0</v>
      </c>
      <c r="O11" s="639">
        <f>huishoudens!N8</f>
        <v>6301.2837642459217</v>
      </c>
      <c r="P11" s="639">
        <f>huishoudens!O8</f>
        <v>57.843333333333334</v>
      </c>
      <c r="Q11" s="640">
        <f>huishoudens!P8</f>
        <v>286</v>
      </c>
      <c r="R11" s="642">
        <f>SUM(C11:Q11)</f>
        <v>103600.81061799373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1728.7901167479808</v>
      </c>
      <c r="D13" s="639">
        <f>industrie!C18</f>
        <v>0</v>
      </c>
      <c r="E13" s="639">
        <f>industrie!D18</f>
        <v>1027.0522266139333</v>
      </c>
      <c r="F13" s="639">
        <f>industrie!E18</f>
        <v>16.61487738514024</v>
      </c>
      <c r="G13" s="639">
        <f>industrie!F18</f>
        <v>675.25432862381422</v>
      </c>
      <c r="H13" s="639">
        <f>industrie!G18</f>
        <v>0</v>
      </c>
      <c r="I13" s="639">
        <f>industrie!H18</f>
        <v>0</v>
      </c>
      <c r="J13" s="639">
        <f>industrie!I18</f>
        <v>0</v>
      </c>
      <c r="K13" s="639">
        <f>industrie!J18</f>
        <v>3.9039000399182151</v>
      </c>
      <c r="L13" s="639">
        <f>industrie!K18</f>
        <v>0</v>
      </c>
      <c r="M13" s="639">
        <f>industrie!L18</f>
        <v>0</v>
      </c>
      <c r="N13" s="639">
        <f>industrie!M18</f>
        <v>0</v>
      </c>
      <c r="O13" s="639">
        <f>industrie!N18</f>
        <v>66.805603942855285</v>
      </c>
      <c r="P13" s="639">
        <f>industrie!O18</f>
        <v>0</v>
      </c>
      <c r="Q13" s="640">
        <f>industrie!P18</f>
        <v>0</v>
      </c>
      <c r="R13" s="642">
        <f>SUM(C13:Q13)</f>
        <v>3518.421053353642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36558.935495894038</v>
      </c>
      <c r="D16" s="672">
        <f t="shared" ref="D16:R16" ca="1" si="0">SUM(D9:D15)</f>
        <v>0</v>
      </c>
      <c r="E16" s="672">
        <f t="shared" ca="1" si="0"/>
        <v>52166.575871340225</v>
      </c>
      <c r="F16" s="672">
        <f t="shared" si="0"/>
        <v>1296.3883591973674</v>
      </c>
      <c r="G16" s="672">
        <f t="shared" ca="1" si="0"/>
        <v>37683.560883457241</v>
      </c>
      <c r="H16" s="672">
        <f t="shared" si="0"/>
        <v>0</v>
      </c>
      <c r="I16" s="672">
        <f t="shared" si="0"/>
        <v>0</v>
      </c>
      <c r="J16" s="672">
        <f t="shared" si="0"/>
        <v>0</v>
      </c>
      <c r="K16" s="672">
        <f t="shared" si="0"/>
        <v>638.72826759196812</v>
      </c>
      <c r="L16" s="672">
        <f t="shared" si="0"/>
        <v>0</v>
      </c>
      <c r="M16" s="672">
        <f t="shared" ca="1" si="0"/>
        <v>0</v>
      </c>
      <c r="N16" s="672">
        <f t="shared" si="0"/>
        <v>0</v>
      </c>
      <c r="O16" s="672">
        <f t="shared" ca="1" si="0"/>
        <v>6984.4970875347462</v>
      </c>
      <c r="P16" s="672">
        <f t="shared" si="0"/>
        <v>60.97</v>
      </c>
      <c r="Q16" s="672">
        <f t="shared" si="0"/>
        <v>305.06666666666666</v>
      </c>
      <c r="R16" s="672">
        <f t="shared" ca="1" si="0"/>
        <v>135694.72263168226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3.3399220766787696</v>
      </c>
      <c r="D19" s="639">
        <f>transport!C54</f>
        <v>0</v>
      </c>
      <c r="E19" s="639">
        <f>transport!D54</f>
        <v>0</v>
      </c>
      <c r="F19" s="639">
        <f>transport!E54</f>
        <v>0</v>
      </c>
      <c r="G19" s="639">
        <f>transport!F54</f>
        <v>0</v>
      </c>
      <c r="H19" s="639">
        <f>transport!G54</f>
        <v>666.1540615193079</v>
      </c>
      <c r="I19" s="639">
        <f>transport!H54</f>
        <v>0</v>
      </c>
      <c r="J19" s="639">
        <f>transport!I54</f>
        <v>0</v>
      </c>
      <c r="K19" s="639">
        <f>transport!J54</f>
        <v>0</v>
      </c>
      <c r="L19" s="639">
        <f>transport!K54</f>
        <v>0</v>
      </c>
      <c r="M19" s="639">
        <f>transport!L54</f>
        <v>0</v>
      </c>
      <c r="N19" s="639">
        <f>transport!M54</f>
        <v>29.443300036482881</v>
      </c>
      <c r="O19" s="639">
        <f>transport!N54</f>
        <v>0</v>
      </c>
      <c r="P19" s="639">
        <f>transport!O54</f>
        <v>0</v>
      </c>
      <c r="Q19" s="640">
        <f>transport!P54</f>
        <v>0</v>
      </c>
      <c r="R19" s="642">
        <f>SUM(C19:Q19)</f>
        <v>698.93728363246964</v>
      </c>
      <c r="S19" s="68"/>
    </row>
    <row r="20" spans="1:19" s="443" customFormat="1">
      <c r="A20" s="753" t="s">
        <v>296</v>
      </c>
      <c r="B20" s="758"/>
      <c r="C20" s="639">
        <f>transport!B14</f>
        <v>13.894224789564692</v>
      </c>
      <c r="D20" s="639">
        <f>transport!C14</f>
        <v>0</v>
      </c>
      <c r="E20" s="639">
        <f>transport!D14</f>
        <v>15.168663511526727</v>
      </c>
      <c r="F20" s="639">
        <f>transport!E14</f>
        <v>1152.780062346957</v>
      </c>
      <c r="G20" s="639">
        <f>transport!F14</f>
        <v>0</v>
      </c>
      <c r="H20" s="639">
        <f>transport!G14</f>
        <v>331818.75194661476</v>
      </c>
      <c r="I20" s="639">
        <f>transport!H14</f>
        <v>40512.334265069832</v>
      </c>
      <c r="J20" s="639">
        <f>transport!I14</f>
        <v>0</v>
      </c>
      <c r="K20" s="639">
        <f>transport!J14</f>
        <v>0</v>
      </c>
      <c r="L20" s="639">
        <f>transport!K14</f>
        <v>0</v>
      </c>
      <c r="M20" s="639">
        <f>transport!L14</f>
        <v>0</v>
      </c>
      <c r="N20" s="639">
        <f>transport!M14</f>
        <v>16620.164966273995</v>
      </c>
      <c r="O20" s="639">
        <f>transport!N14</f>
        <v>0</v>
      </c>
      <c r="P20" s="639">
        <f>transport!O14</f>
        <v>0</v>
      </c>
      <c r="Q20" s="640">
        <f>transport!P14</f>
        <v>0</v>
      </c>
      <c r="R20" s="642">
        <f>SUM(C20:Q20)</f>
        <v>390133.09412860667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17.234146866243464</v>
      </c>
      <c r="D22" s="756">
        <f t="shared" ref="D22:R22" si="1">SUM(D18:D21)</f>
        <v>0</v>
      </c>
      <c r="E22" s="756">
        <f t="shared" si="1"/>
        <v>15.168663511526727</v>
      </c>
      <c r="F22" s="756">
        <f t="shared" si="1"/>
        <v>1152.780062346957</v>
      </c>
      <c r="G22" s="756">
        <f t="shared" si="1"/>
        <v>0</v>
      </c>
      <c r="H22" s="756">
        <f t="shared" si="1"/>
        <v>332484.90600813407</v>
      </c>
      <c r="I22" s="756">
        <f t="shared" si="1"/>
        <v>40512.334265069832</v>
      </c>
      <c r="J22" s="756">
        <f t="shared" si="1"/>
        <v>0</v>
      </c>
      <c r="K22" s="756">
        <f t="shared" si="1"/>
        <v>0</v>
      </c>
      <c r="L22" s="756">
        <f t="shared" si="1"/>
        <v>0</v>
      </c>
      <c r="M22" s="756">
        <f t="shared" si="1"/>
        <v>0</v>
      </c>
      <c r="N22" s="756">
        <f t="shared" si="1"/>
        <v>16649.608266310479</v>
      </c>
      <c r="O22" s="756">
        <f t="shared" si="1"/>
        <v>0</v>
      </c>
      <c r="P22" s="756">
        <f t="shared" si="1"/>
        <v>0</v>
      </c>
      <c r="Q22" s="756">
        <f t="shared" si="1"/>
        <v>0</v>
      </c>
      <c r="R22" s="756">
        <f t="shared" si="1"/>
        <v>390832.03141223913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1081.9596957055919</v>
      </c>
      <c r="D24" s="639">
        <f>+landbouw!C8</f>
        <v>0</v>
      </c>
      <c r="E24" s="639">
        <f>+landbouw!D8</f>
        <v>660.66813590665924</v>
      </c>
      <c r="F24" s="639">
        <f>+landbouw!E8</f>
        <v>10.684548920852606</v>
      </c>
      <c r="G24" s="639">
        <f>+landbouw!F8</f>
        <v>3609.7038292119419</v>
      </c>
      <c r="H24" s="639">
        <f>+landbouw!G8</f>
        <v>0</v>
      </c>
      <c r="I24" s="639">
        <f>+landbouw!H8</f>
        <v>0</v>
      </c>
      <c r="J24" s="639">
        <f>+landbouw!I8</f>
        <v>0</v>
      </c>
      <c r="K24" s="639">
        <f>+landbouw!J8</f>
        <v>107.9467378246305</v>
      </c>
      <c r="L24" s="639">
        <f>+landbouw!K8</f>
        <v>0</v>
      </c>
      <c r="M24" s="639">
        <f>+landbouw!L8</f>
        <v>0</v>
      </c>
      <c r="N24" s="639">
        <f>+landbouw!M8</f>
        <v>0</v>
      </c>
      <c r="O24" s="639">
        <f>+landbouw!N8</f>
        <v>0</v>
      </c>
      <c r="P24" s="639">
        <f>+landbouw!O8</f>
        <v>0</v>
      </c>
      <c r="Q24" s="640">
        <f>+landbouw!P8</f>
        <v>0</v>
      </c>
      <c r="R24" s="642">
        <f>SUM(C24:Q24)</f>
        <v>5470.9629475696765</v>
      </c>
      <c r="S24" s="68"/>
    </row>
    <row r="25" spans="1:19" s="443" customFormat="1" ht="15" thickBot="1">
      <c r="A25" s="775" t="s">
        <v>847</v>
      </c>
      <c r="B25" s="941"/>
      <c r="C25" s="942">
        <f>IF(Onbekend_ele_kWh="---",0,Onbekend_ele_kWh)/1000+IF(REST_rest_ele_kWh="---",0,REST_rest_ele_kWh)/1000</f>
        <v>1031.64944705425</v>
      </c>
      <c r="D25" s="942"/>
      <c r="E25" s="942">
        <f>IF(onbekend_gas_kWh="---",0,onbekend_gas_kWh)/1000+IF(REST_rest_gas_kWh="---",0,REST_rest_gas_kWh)/1000</f>
        <v>1921.2270961444999</v>
      </c>
      <c r="F25" s="942"/>
      <c r="G25" s="942"/>
      <c r="H25" s="942"/>
      <c r="I25" s="942"/>
      <c r="J25" s="942"/>
      <c r="K25" s="942"/>
      <c r="L25" s="942"/>
      <c r="M25" s="942"/>
      <c r="N25" s="942"/>
      <c r="O25" s="942"/>
      <c r="P25" s="942"/>
      <c r="Q25" s="943"/>
      <c r="R25" s="642">
        <f>SUM(C25:Q25)</f>
        <v>2952.8765431987499</v>
      </c>
      <c r="S25" s="68"/>
    </row>
    <row r="26" spans="1:19" s="443" customFormat="1" ht="15.75" thickBot="1">
      <c r="A26" s="645" t="s">
        <v>848</v>
      </c>
      <c r="B26" s="761"/>
      <c r="C26" s="756">
        <f>SUM(C24:C25)</f>
        <v>2113.6091427598421</v>
      </c>
      <c r="D26" s="756">
        <f t="shared" ref="D26:R26" si="2">SUM(D24:D25)</f>
        <v>0</v>
      </c>
      <c r="E26" s="756">
        <f t="shared" si="2"/>
        <v>2581.8952320511589</v>
      </c>
      <c r="F26" s="756">
        <f t="shared" si="2"/>
        <v>10.684548920852606</v>
      </c>
      <c r="G26" s="756">
        <f t="shared" si="2"/>
        <v>3609.7038292119419</v>
      </c>
      <c r="H26" s="756">
        <f t="shared" si="2"/>
        <v>0</v>
      </c>
      <c r="I26" s="756">
        <f t="shared" si="2"/>
        <v>0</v>
      </c>
      <c r="J26" s="756">
        <f t="shared" si="2"/>
        <v>0</v>
      </c>
      <c r="K26" s="756">
        <f t="shared" si="2"/>
        <v>107.9467378246305</v>
      </c>
      <c r="L26" s="756">
        <f t="shared" si="2"/>
        <v>0</v>
      </c>
      <c r="M26" s="756">
        <f t="shared" si="2"/>
        <v>0</v>
      </c>
      <c r="N26" s="756">
        <f t="shared" si="2"/>
        <v>0</v>
      </c>
      <c r="O26" s="756">
        <f t="shared" si="2"/>
        <v>0</v>
      </c>
      <c r="P26" s="756">
        <f t="shared" si="2"/>
        <v>0</v>
      </c>
      <c r="Q26" s="756">
        <f t="shared" si="2"/>
        <v>0</v>
      </c>
      <c r="R26" s="756">
        <f t="shared" si="2"/>
        <v>8423.8394907684269</v>
      </c>
      <c r="S26" s="68"/>
    </row>
    <row r="27" spans="1:19" s="443" customFormat="1" ht="17.25" thickTop="1" thickBot="1">
      <c r="A27" s="646" t="s">
        <v>109</v>
      </c>
      <c r="B27" s="748"/>
      <c r="C27" s="647">
        <f ca="1">C22+C16+C26</f>
        <v>38689.778785520124</v>
      </c>
      <c r="D27" s="647">
        <f t="shared" ref="D27:R27" ca="1" si="3">D22+D16+D26</f>
        <v>0</v>
      </c>
      <c r="E27" s="647">
        <f t="shared" ca="1" si="3"/>
        <v>54763.63976690291</v>
      </c>
      <c r="F27" s="647">
        <f t="shared" si="3"/>
        <v>2459.8529704651773</v>
      </c>
      <c r="G27" s="647">
        <f t="shared" ca="1" si="3"/>
        <v>41293.264712669181</v>
      </c>
      <c r="H27" s="647">
        <f t="shared" si="3"/>
        <v>332484.90600813407</v>
      </c>
      <c r="I27" s="647">
        <f t="shared" si="3"/>
        <v>40512.334265069832</v>
      </c>
      <c r="J27" s="647">
        <f t="shared" si="3"/>
        <v>0</v>
      </c>
      <c r="K27" s="647">
        <f t="shared" si="3"/>
        <v>746.67500541659865</v>
      </c>
      <c r="L27" s="647">
        <f t="shared" si="3"/>
        <v>0</v>
      </c>
      <c r="M27" s="647">
        <f t="shared" ca="1" si="3"/>
        <v>0</v>
      </c>
      <c r="N27" s="647">
        <f t="shared" si="3"/>
        <v>16649.608266310479</v>
      </c>
      <c r="O27" s="647">
        <f t="shared" ca="1" si="3"/>
        <v>6984.4970875347462</v>
      </c>
      <c r="P27" s="647">
        <f t="shared" si="3"/>
        <v>60.97</v>
      </c>
      <c r="Q27" s="647">
        <f t="shared" si="3"/>
        <v>305.06666666666666</v>
      </c>
      <c r="R27" s="647">
        <f t="shared" ca="1" si="3"/>
        <v>534950.59353468975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2419.7590617189621</v>
      </c>
      <c r="D40" s="639">
        <f ca="1">tertiair!C20</f>
        <v>0</v>
      </c>
      <c r="E40" s="639">
        <f ca="1">tertiair!D20</f>
        <v>2864.9655798008598</v>
      </c>
      <c r="F40" s="639">
        <f>tertiair!E20</f>
        <v>30.004371152194018</v>
      </c>
      <c r="G40" s="639">
        <f ca="1">tertiair!F20</f>
        <v>539.72646738204674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5854.4554800540627</v>
      </c>
    </row>
    <row r="41" spans="1:18">
      <c r="A41" s="766" t="s">
        <v>214</v>
      </c>
      <c r="B41" s="773"/>
      <c r="C41" s="639">
        <f ca="1">huishoudens!B12</f>
        <v>4845.6394068191785</v>
      </c>
      <c r="D41" s="639">
        <f ca="1">huishoudens!C12</f>
        <v>0</v>
      </c>
      <c r="E41" s="639">
        <f>huishoudens!D12</f>
        <v>7465.2181964338524</v>
      </c>
      <c r="F41" s="639">
        <f>huishoudens!E12</f>
        <v>260.50420921918152</v>
      </c>
      <c r="G41" s="639">
        <f>huishoudens!F12</f>
        <v>9341.4913827584805</v>
      </c>
      <c r="H41" s="639">
        <f>huishoudens!G12</f>
        <v>0</v>
      </c>
      <c r="I41" s="639">
        <f>huishoudens!H12</f>
        <v>0</v>
      </c>
      <c r="J41" s="639">
        <f>huishoudens!I12</f>
        <v>0</v>
      </c>
      <c r="K41" s="639">
        <f>huishoudens!J12</f>
        <v>224.72782611342566</v>
      </c>
      <c r="L41" s="639">
        <f>huishoudens!K12</f>
        <v>0</v>
      </c>
      <c r="M41" s="639">
        <f>huishoudens!L12</f>
        <v>0</v>
      </c>
      <c r="N41" s="639">
        <f>huishoudens!M12</f>
        <v>0</v>
      </c>
      <c r="O41" s="639">
        <f>huishoudens!N12</f>
        <v>0</v>
      </c>
      <c r="P41" s="639">
        <f>huishoudens!O12</f>
        <v>0</v>
      </c>
      <c r="Q41" s="714">
        <f>huishoudens!P12</f>
        <v>0</v>
      </c>
      <c r="R41" s="794">
        <f t="shared" ca="1" si="4"/>
        <v>22137.581021344122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360.61718749428309</v>
      </c>
      <c r="D43" s="639">
        <f ca="1">industrie!C22</f>
        <v>0</v>
      </c>
      <c r="E43" s="639">
        <f>industrie!D22</f>
        <v>207.46454977601454</v>
      </c>
      <c r="F43" s="639">
        <f>industrie!E22</f>
        <v>3.7715771664268347</v>
      </c>
      <c r="G43" s="639">
        <f>industrie!F22</f>
        <v>180.29290574255842</v>
      </c>
      <c r="H43" s="639">
        <f>industrie!G22</f>
        <v>0</v>
      </c>
      <c r="I43" s="639">
        <f>industrie!H22</f>
        <v>0</v>
      </c>
      <c r="J43" s="639">
        <f>industrie!I22</f>
        <v>0</v>
      </c>
      <c r="K43" s="639">
        <f>industrie!J22</f>
        <v>1.381980614131048</v>
      </c>
      <c r="L43" s="639">
        <f>industrie!K22</f>
        <v>0</v>
      </c>
      <c r="M43" s="639">
        <f>industrie!L22</f>
        <v>0</v>
      </c>
      <c r="N43" s="639">
        <f>industrie!M22</f>
        <v>0</v>
      </c>
      <c r="O43" s="639">
        <f>industrie!N22</f>
        <v>0</v>
      </c>
      <c r="P43" s="639">
        <f>industrie!O22</f>
        <v>0</v>
      </c>
      <c r="Q43" s="714">
        <f>industrie!P22</f>
        <v>0</v>
      </c>
      <c r="R43" s="793">
        <f t="shared" ca="1" si="4"/>
        <v>753.52820079341393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7626.0156560324231</v>
      </c>
      <c r="D46" s="672">
        <f t="shared" ref="D46:Q46" ca="1" si="5">SUM(D39:D45)</f>
        <v>0</v>
      </c>
      <c r="E46" s="672">
        <f t="shared" ca="1" si="5"/>
        <v>10537.648326010727</v>
      </c>
      <c r="F46" s="672">
        <f t="shared" si="5"/>
        <v>294.28015753780238</v>
      </c>
      <c r="G46" s="672">
        <f t="shared" ca="1" si="5"/>
        <v>10061.510755883086</v>
      </c>
      <c r="H46" s="672">
        <f t="shared" si="5"/>
        <v>0</v>
      </c>
      <c r="I46" s="672">
        <f t="shared" si="5"/>
        <v>0</v>
      </c>
      <c r="J46" s="672">
        <f t="shared" si="5"/>
        <v>0</v>
      </c>
      <c r="K46" s="672">
        <f t="shared" si="5"/>
        <v>226.1098067275567</v>
      </c>
      <c r="L46" s="672">
        <f t="shared" si="5"/>
        <v>0</v>
      </c>
      <c r="M46" s="672">
        <f t="shared" ca="1" si="5"/>
        <v>0</v>
      </c>
      <c r="N46" s="672">
        <f t="shared" si="5"/>
        <v>0</v>
      </c>
      <c r="O46" s="672">
        <f t="shared" ca="1" si="5"/>
        <v>0</v>
      </c>
      <c r="P46" s="672">
        <f t="shared" si="5"/>
        <v>0</v>
      </c>
      <c r="Q46" s="672">
        <f t="shared" si="5"/>
        <v>0</v>
      </c>
      <c r="R46" s="672">
        <f ca="1">SUM(R39:R45)</f>
        <v>28745.564702191601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0.69669145726470094</v>
      </c>
      <c r="D49" s="639">
        <f ca="1">transport!C58</f>
        <v>0</v>
      </c>
      <c r="E49" s="639">
        <f>transport!D58</f>
        <v>0</v>
      </c>
      <c r="F49" s="639">
        <f>transport!E58</f>
        <v>0</v>
      </c>
      <c r="G49" s="639">
        <f>transport!F58</f>
        <v>0</v>
      </c>
      <c r="H49" s="639">
        <f>transport!G58</f>
        <v>177.86313442565523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178.55982588291994</v>
      </c>
    </row>
    <row r="50" spans="1:18">
      <c r="A50" s="769" t="s">
        <v>296</v>
      </c>
      <c r="B50" s="779"/>
      <c r="C50" s="948">
        <f ca="1">transport!B18</f>
        <v>2.8982675325859617</v>
      </c>
      <c r="D50" s="948">
        <f>transport!C18</f>
        <v>0</v>
      </c>
      <c r="E50" s="948">
        <f>transport!D18</f>
        <v>3.0640700293283989</v>
      </c>
      <c r="F50" s="948">
        <f>transport!E18</f>
        <v>261.68107415275927</v>
      </c>
      <c r="G50" s="948">
        <f>transport!F18</f>
        <v>0</v>
      </c>
      <c r="H50" s="948">
        <f>transport!G18</f>
        <v>88595.60676974614</v>
      </c>
      <c r="I50" s="948">
        <f>transport!H18</f>
        <v>10087.571232002389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98950.8214134632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3.5949589898506629</v>
      </c>
      <c r="D52" s="672">
        <f t="shared" ref="D52:Q52" ca="1" si="6">SUM(D48:D51)</f>
        <v>0</v>
      </c>
      <c r="E52" s="672">
        <f t="shared" si="6"/>
        <v>3.0640700293283989</v>
      </c>
      <c r="F52" s="672">
        <f t="shared" si="6"/>
        <v>261.68107415275927</v>
      </c>
      <c r="G52" s="672">
        <f t="shared" si="6"/>
        <v>0</v>
      </c>
      <c r="H52" s="672">
        <f t="shared" si="6"/>
        <v>88773.469904171798</v>
      </c>
      <c r="I52" s="672">
        <f t="shared" si="6"/>
        <v>10087.571232002389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99129.381239346127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225.69151608841568</v>
      </c>
      <c r="D54" s="948">
        <f ca="1">+landbouw!C12</f>
        <v>0</v>
      </c>
      <c r="E54" s="948">
        <f>+landbouw!D12</f>
        <v>133.45496345314518</v>
      </c>
      <c r="F54" s="948">
        <f>+landbouw!E12</f>
        <v>2.4253926050335415</v>
      </c>
      <c r="G54" s="948">
        <f>+landbouw!F12</f>
        <v>963.79092239958857</v>
      </c>
      <c r="H54" s="948">
        <f>+landbouw!G12</f>
        <v>0</v>
      </c>
      <c r="I54" s="948">
        <f>+landbouw!H12</f>
        <v>0</v>
      </c>
      <c r="J54" s="948">
        <f>+landbouw!I12</f>
        <v>0</v>
      </c>
      <c r="K54" s="948">
        <f>+landbouw!J12</f>
        <v>38.213145189919196</v>
      </c>
      <c r="L54" s="948">
        <f>+landbouw!K12</f>
        <v>0</v>
      </c>
      <c r="M54" s="948">
        <f>+landbouw!L12</f>
        <v>0</v>
      </c>
      <c r="N54" s="948">
        <f>+landbouw!M12</f>
        <v>0</v>
      </c>
      <c r="O54" s="948">
        <f>+landbouw!N12</f>
        <v>0</v>
      </c>
      <c r="P54" s="948">
        <f>+landbouw!O12</f>
        <v>0</v>
      </c>
      <c r="Q54" s="949">
        <f>+landbouw!P12</f>
        <v>0</v>
      </c>
      <c r="R54" s="671">
        <f ca="1">SUM(C54:Q54)</f>
        <v>1363.5759397361023</v>
      </c>
    </row>
    <row r="55" spans="1:18" ht="15" thickBot="1">
      <c r="A55" s="769" t="s">
        <v>847</v>
      </c>
      <c r="B55" s="779"/>
      <c r="C55" s="948">
        <f ca="1">C25*'EF ele_warmte'!B12</f>
        <v>215.19704356973122</v>
      </c>
      <c r="D55" s="948"/>
      <c r="E55" s="948">
        <f>E25*EF_CO2_aardgas</f>
        <v>388.08787342118899</v>
      </c>
      <c r="F55" s="948"/>
      <c r="G55" s="948"/>
      <c r="H55" s="948"/>
      <c r="I55" s="948"/>
      <c r="J55" s="948"/>
      <c r="K55" s="948"/>
      <c r="L55" s="948"/>
      <c r="M55" s="948"/>
      <c r="N55" s="948"/>
      <c r="O55" s="948"/>
      <c r="P55" s="948"/>
      <c r="Q55" s="949"/>
      <c r="R55" s="671">
        <f ca="1">SUM(C55:Q55)</f>
        <v>603.28491699092024</v>
      </c>
    </row>
    <row r="56" spans="1:18" ht="15.75" thickBot="1">
      <c r="A56" s="767" t="s">
        <v>848</v>
      </c>
      <c r="B56" s="780"/>
      <c r="C56" s="672">
        <f ca="1">SUM(C54:C55)</f>
        <v>440.8885596581469</v>
      </c>
      <c r="D56" s="672">
        <f t="shared" ref="D56:Q56" ca="1" si="7">SUM(D54:D55)</f>
        <v>0</v>
      </c>
      <c r="E56" s="672">
        <f t="shared" si="7"/>
        <v>521.54283687433417</v>
      </c>
      <c r="F56" s="672">
        <f t="shared" si="7"/>
        <v>2.4253926050335415</v>
      </c>
      <c r="G56" s="672">
        <f t="shared" si="7"/>
        <v>963.79092239958857</v>
      </c>
      <c r="H56" s="672">
        <f t="shared" si="7"/>
        <v>0</v>
      </c>
      <c r="I56" s="672">
        <f t="shared" si="7"/>
        <v>0</v>
      </c>
      <c r="J56" s="672">
        <f t="shared" si="7"/>
        <v>0</v>
      </c>
      <c r="K56" s="672">
        <f t="shared" si="7"/>
        <v>38.213145189919196</v>
      </c>
      <c r="L56" s="672">
        <f t="shared" si="7"/>
        <v>0</v>
      </c>
      <c r="M56" s="672">
        <f t="shared" si="7"/>
        <v>0</v>
      </c>
      <c r="N56" s="672">
        <f t="shared" si="7"/>
        <v>0</v>
      </c>
      <c r="O56" s="672">
        <f t="shared" si="7"/>
        <v>0</v>
      </c>
      <c r="P56" s="672">
        <f t="shared" si="7"/>
        <v>0</v>
      </c>
      <c r="Q56" s="673">
        <f t="shared" si="7"/>
        <v>0</v>
      </c>
      <c r="R56" s="674">
        <f ca="1">SUM(R54:R55)</f>
        <v>1966.8608567270226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8070.4991746804208</v>
      </c>
      <c r="D61" s="680">
        <f t="shared" ref="D61:Q61" ca="1" si="8">D46+D52+D56</f>
        <v>0</v>
      </c>
      <c r="E61" s="680">
        <f t="shared" ca="1" si="8"/>
        <v>11062.255232914389</v>
      </c>
      <c r="F61" s="680">
        <f t="shared" si="8"/>
        <v>558.38662429559508</v>
      </c>
      <c r="G61" s="680">
        <f t="shared" ca="1" si="8"/>
        <v>11025.301678282674</v>
      </c>
      <c r="H61" s="680">
        <f t="shared" si="8"/>
        <v>88773.469904171798</v>
      </c>
      <c r="I61" s="680">
        <f t="shared" si="8"/>
        <v>10087.571232002389</v>
      </c>
      <c r="J61" s="680">
        <f t="shared" si="8"/>
        <v>0</v>
      </c>
      <c r="K61" s="680">
        <f t="shared" si="8"/>
        <v>264.3229519174759</v>
      </c>
      <c r="L61" s="680">
        <f t="shared" si="8"/>
        <v>0</v>
      </c>
      <c r="M61" s="680">
        <f t="shared" ca="1" si="8"/>
        <v>0</v>
      </c>
      <c r="N61" s="680">
        <f t="shared" si="8"/>
        <v>0</v>
      </c>
      <c r="O61" s="680">
        <f t="shared" ca="1" si="8"/>
        <v>0</v>
      </c>
      <c r="P61" s="680">
        <f t="shared" si="8"/>
        <v>0</v>
      </c>
      <c r="Q61" s="680">
        <f t="shared" si="8"/>
        <v>0</v>
      </c>
      <c r="R61" s="680">
        <f ca="1">R46+R52+R56</f>
        <v>129841.80679826476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0.2085951232603287</v>
      </c>
      <c r="D63" s="724">
        <f t="shared" ca="1" si="9"/>
        <v>0</v>
      </c>
      <c r="E63" s="950">
        <f t="shared" ca="1" si="9"/>
        <v>0.20200000000000001</v>
      </c>
      <c r="F63" s="724">
        <f t="shared" si="9"/>
        <v>0.22699999999999992</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2171.6829724865452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2171.6829724865452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23229.878681160604</v>
      </c>
      <c r="C4" s="447">
        <f>huishoudens!C8</f>
        <v>0</v>
      </c>
      <c r="D4" s="447">
        <f>huishoudens!D8</f>
        <v>36956.525724920059</v>
      </c>
      <c r="E4" s="447">
        <f>huishoudens!E8</f>
        <v>1147.5956353267909</v>
      </c>
      <c r="F4" s="447">
        <f>huishoudens!F8</f>
        <v>34986.859111454978</v>
      </c>
      <c r="G4" s="447">
        <f>huishoudens!G8</f>
        <v>0</v>
      </c>
      <c r="H4" s="447">
        <f>huishoudens!H8</f>
        <v>0</v>
      </c>
      <c r="I4" s="447">
        <f>huishoudens!I8</f>
        <v>0</v>
      </c>
      <c r="J4" s="447">
        <f>huishoudens!J8</f>
        <v>634.82436755204992</v>
      </c>
      <c r="K4" s="447">
        <f>huishoudens!K8</f>
        <v>0</v>
      </c>
      <c r="L4" s="447">
        <f>huishoudens!L8</f>
        <v>0</v>
      </c>
      <c r="M4" s="447">
        <f>huishoudens!M8</f>
        <v>0</v>
      </c>
      <c r="N4" s="447">
        <f>huishoudens!N8</f>
        <v>6301.2837642459217</v>
      </c>
      <c r="O4" s="447">
        <f>huishoudens!O8</f>
        <v>57.843333333333334</v>
      </c>
      <c r="P4" s="448">
        <f>huishoudens!P8</f>
        <v>286</v>
      </c>
      <c r="Q4" s="449">
        <f>SUM(B4:P4)</f>
        <v>103600.81061799373</v>
      </c>
    </row>
    <row r="5" spans="1:17">
      <c r="A5" s="446" t="s">
        <v>149</v>
      </c>
      <c r="B5" s="447">
        <f ca="1">tertiair!B16</f>
        <v>10768.503697985454</v>
      </c>
      <c r="C5" s="447">
        <f ca="1">tertiair!C16</f>
        <v>0</v>
      </c>
      <c r="D5" s="447">
        <f ca="1">tertiair!D16</f>
        <v>14182.997919806236</v>
      </c>
      <c r="E5" s="447">
        <f>tertiair!E16</f>
        <v>132.17784648543619</v>
      </c>
      <c r="F5" s="447">
        <f ca="1">tertiair!F16</f>
        <v>2021.4474433784521</v>
      </c>
      <c r="G5" s="447">
        <f>tertiair!G16</f>
        <v>0</v>
      </c>
      <c r="H5" s="447">
        <f>tertiair!H16</f>
        <v>0</v>
      </c>
      <c r="I5" s="447">
        <f>tertiair!I16</f>
        <v>0</v>
      </c>
      <c r="J5" s="447">
        <f>tertiair!J16</f>
        <v>0</v>
      </c>
      <c r="K5" s="447">
        <f>tertiair!K16</f>
        <v>0</v>
      </c>
      <c r="L5" s="447">
        <f ca="1">tertiair!L16</f>
        <v>0</v>
      </c>
      <c r="M5" s="447">
        <f>tertiair!M16</f>
        <v>0</v>
      </c>
      <c r="N5" s="447">
        <f ca="1">tertiair!N16</f>
        <v>616.40771934596887</v>
      </c>
      <c r="O5" s="447">
        <f>tertiair!O16</f>
        <v>3.1266666666666669</v>
      </c>
      <c r="P5" s="448">
        <f>tertiair!P16</f>
        <v>19.066666666666666</v>
      </c>
      <c r="Q5" s="446">
        <f t="shared" ref="Q5:Q14" ca="1" si="0">SUM(B5:P5)</f>
        <v>27743.727960334883</v>
      </c>
    </row>
    <row r="6" spans="1:17">
      <c r="A6" s="446" t="s">
        <v>187</v>
      </c>
      <c r="B6" s="447">
        <f>'openbare verlichting'!B8</f>
        <v>831.76300000000003</v>
      </c>
      <c r="C6" s="447"/>
      <c r="D6" s="447"/>
      <c r="E6" s="447"/>
      <c r="F6" s="447"/>
      <c r="G6" s="447"/>
      <c r="H6" s="447"/>
      <c r="I6" s="447"/>
      <c r="J6" s="447"/>
      <c r="K6" s="447"/>
      <c r="L6" s="447"/>
      <c r="M6" s="447"/>
      <c r="N6" s="447"/>
      <c r="O6" s="447"/>
      <c r="P6" s="448"/>
      <c r="Q6" s="446">
        <f t="shared" si="0"/>
        <v>831.76300000000003</v>
      </c>
    </row>
    <row r="7" spans="1:17">
      <c r="A7" s="446" t="s">
        <v>105</v>
      </c>
      <c r="B7" s="447">
        <f>landbouw!B8</f>
        <v>1081.9596957055919</v>
      </c>
      <c r="C7" s="447">
        <f>landbouw!C8</f>
        <v>0</v>
      </c>
      <c r="D7" s="447">
        <f>landbouw!D8</f>
        <v>660.66813590665924</v>
      </c>
      <c r="E7" s="447">
        <f>landbouw!E8</f>
        <v>10.684548920852606</v>
      </c>
      <c r="F7" s="447">
        <f>landbouw!F8</f>
        <v>3609.7038292119419</v>
      </c>
      <c r="G7" s="447">
        <f>landbouw!G8</f>
        <v>0</v>
      </c>
      <c r="H7" s="447">
        <f>landbouw!H8</f>
        <v>0</v>
      </c>
      <c r="I7" s="447">
        <f>landbouw!I8</f>
        <v>0</v>
      </c>
      <c r="J7" s="447">
        <f>landbouw!J8</f>
        <v>107.9467378246305</v>
      </c>
      <c r="K7" s="447">
        <f>landbouw!K8</f>
        <v>0</v>
      </c>
      <c r="L7" s="447">
        <f>landbouw!L8</f>
        <v>0</v>
      </c>
      <c r="M7" s="447">
        <f>landbouw!M8</f>
        <v>0</v>
      </c>
      <c r="N7" s="447">
        <f>landbouw!N8</f>
        <v>0</v>
      </c>
      <c r="O7" s="447">
        <f>landbouw!O8</f>
        <v>0</v>
      </c>
      <c r="P7" s="448">
        <f>landbouw!P8</f>
        <v>0</v>
      </c>
      <c r="Q7" s="446">
        <f t="shared" si="0"/>
        <v>5470.9629475696765</v>
      </c>
    </row>
    <row r="8" spans="1:17">
      <c r="A8" s="446" t="s">
        <v>640</v>
      </c>
      <c r="B8" s="447">
        <f>industrie!B18</f>
        <v>1728.7901167479808</v>
      </c>
      <c r="C8" s="447">
        <f>industrie!C18</f>
        <v>0</v>
      </c>
      <c r="D8" s="447">
        <f>industrie!D18</f>
        <v>1027.0522266139333</v>
      </c>
      <c r="E8" s="447">
        <f>industrie!E18</f>
        <v>16.61487738514024</v>
      </c>
      <c r="F8" s="447">
        <f>industrie!F18</f>
        <v>675.25432862381422</v>
      </c>
      <c r="G8" s="447">
        <f>industrie!G18</f>
        <v>0</v>
      </c>
      <c r="H8" s="447">
        <f>industrie!H18</f>
        <v>0</v>
      </c>
      <c r="I8" s="447">
        <f>industrie!I18</f>
        <v>0</v>
      </c>
      <c r="J8" s="447">
        <f>industrie!J18</f>
        <v>3.9039000399182151</v>
      </c>
      <c r="K8" s="447">
        <f>industrie!K18</f>
        <v>0</v>
      </c>
      <c r="L8" s="447">
        <f>industrie!L18</f>
        <v>0</v>
      </c>
      <c r="M8" s="447">
        <f>industrie!M18</f>
        <v>0</v>
      </c>
      <c r="N8" s="447">
        <f>industrie!N18</f>
        <v>66.805603942855285</v>
      </c>
      <c r="O8" s="447">
        <f>industrie!O18</f>
        <v>0</v>
      </c>
      <c r="P8" s="448">
        <f>industrie!P18</f>
        <v>0</v>
      </c>
      <c r="Q8" s="446">
        <f t="shared" si="0"/>
        <v>3518.421053353642</v>
      </c>
    </row>
    <row r="9" spans="1:17" s="452" customFormat="1">
      <c r="A9" s="450" t="s">
        <v>560</v>
      </c>
      <c r="B9" s="451">
        <f>transport!B14</f>
        <v>13.894224789564692</v>
      </c>
      <c r="C9" s="451">
        <f>transport!C14</f>
        <v>0</v>
      </c>
      <c r="D9" s="451">
        <f>transport!D14</f>
        <v>15.168663511526727</v>
      </c>
      <c r="E9" s="451">
        <f>transport!E14</f>
        <v>1152.780062346957</v>
      </c>
      <c r="F9" s="451">
        <f>transport!F14</f>
        <v>0</v>
      </c>
      <c r="G9" s="451">
        <f>transport!G14</f>
        <v>331818.75194661476</v>
      </c>
      <c r="H9" s="451">
        <f>transport!H14</f>
        <v>40512.334265069832</v>
      </c>
      <c r="I9" s="451">
        <f>transport!I14</f>
        <v>0</v>
      </c>
      <c r="J9" s="451">
        <f>transport!J14</f>
        <v>0</v>
      </c>
      <c r="K9" s="451">
        <f>transport!K14</f>
        <v>0</v>
      </c>
      <c r="L9" s="451">
        <f>transport!L14</f>
        <v>0</v>
      </c>
      <c r="M9" s="451">
        <f>transport!M14</f>
        <v>16620.164966273995</v>
      </c>
      <c r="N9" s="451">
        <f>transport!N14</f>
        <v>0</v>
      </c>
      <c r="O9" s="451">
        <f>transport!O14</f>
        <v>0</v>
      </c>
      <c r="P9" s="451">
        <f>transport!P14</f>
        <v>0</v>
      </c>
      <c r="Q9" s="450">
        <f>SUM(B9:P9)</f>
        <v>390133.09412860667</v>
      </c>
    </row>
    <row r="10" spans="1:17">
      <c r="A10" s="446" t="s">
        <v>550</v>
      </c>
      <c r="B10" s="447">
        <f>transport!B54</f>
        <v>3.3399220766787696</v>
      </c>
      <c r="C10" s="447">
        <f>transport!C54</f>
        <v>0</v>
      </c>
      <c r="D10" s="447">
        <f>transport!D54</f>
        <v>0</v>
      </c>
      <c r="E10" s="447">
        <f>transport!E54</f>
        <v>0</v>
      </c>
      <c r="F10" s="447">
        <f>transport!F54</f>
        <v>0</v>
      </c>
      <c r="G10" s="447">
        <f>transport!G54</f>
        <v>666.1540615193079</v>
      </c>
      <c r="H10" s="447">
        <f>transport!H54</f>
        <v>0</v>
      </c>
      <c r="I10" s="447">
        <f>transport!I54</f>
        <v>0</v>
      </c>
      <c r="J10" s="447">
        <f>transport!J54</f>
        <v>0</v>
      </c>
      <c r="K10" s="447">
        <f>transport!K54</f>
        <v>0</v>
      </c>
      <c r="L10" s="447">
        <f>transport!L54</f>
        <v>0</v>
      </c>
      <c r="M10" s="447">
        <f>transport!M54</f>
        <v>29.443300036482881</v>
      </c>
      <c r="N10" s="447">
        <f>transport!N54</f>
        <v>0</v>
      </c>
      <c r="O10" s="447">
        <f>transport!O54</f>
        <v>0</v>
      </c>
      <c r="P10" s="448">
        <f>transport!P54</f>
        <v>0</v>
      </c>
      <c r="Q10" s="446">
        <f t="shared" si="0"/>
        <v>698.93728363246964</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1031.64944705425</v>
      </c>
      <c r="C14" s="454"/>
      <c r="D14" s="454">
        <f>'SEAP template'!E25</f>
        <v>1921.2270961444999</v>
      </c>
      <c r="E14" s="454"/>
      <c r="F14" s="454"/>
      <c r="G14" s="454"/>
      <c r="H14" s="454"/>
      <c r="I14" s="454"/>
      <c r="J14" s="454"/>
      <c r="K14" s="454"/>
      <c r="L14" s="454"/>
      <c r="M14" s="454"/>
      <c r="N14" s="454"/>
      <c r="O14" s="454"/>
      <c r="P14" s="455"/>
      <c r="Q14" s="446">
        <f t="shared" si="0"/>
        <v>2952.8765431987499</v>
      </c>
    </row>
    <row r="15" spans="1:17" s="459" customFormat="1">
      <c r="A15" s="456" t="s">
        <v>554</v>
      </c>
      <c r="B15" s="457">
        <f ca="1">SUM(B4:B14)</f>
        <v>38689.778785520124</v>
      </c>
      <c r="C15" s="457">
        <f t="shared" ref="C15:Q15" ca="1" si="1">SUM(C4:C14)</f>
        <v>0</v>
      </c>
      <c r="D15" s="457">
        <f t="shared" ca="1" si="1"/>
        <v>54763.63976690291</v>
      </c>
      <c r="E15" s="457">
        <f t="shared" si="1"/>
        <v>2459.8529704651773</v>
      </c>
      <c r="F15" s="457">
        <f t="shared" ca="1" si="1"/>
        <v>41293.264712669181</v>
      </c>
      <c r="G15" s="457">
        <f t="shared" si="1"/>
        <v>332484.90600813407</v>
      </c>
      <c r="H15" s="457">
        <f t="shared" si="1"/>
        <v>40512.334265069832</v>
      </c>
      <c r="I15" s="457">
        <f t="shared" si="1"/>
        <v>0</v>
      </c>
      <c r="J15" s="457">
        <f t="shared" si="1"/>
        <v>746.67500541659865</v>
      </c>
      <c r="K15" s="457">
        <f t="shared" si="1"/>
        <v>0</v>
      </c>
      <c r="L15" s="457">
        <f t="shared" ca="1" si="1"/>
        <v>0</v>
      </c>
      <c r="M15" s="457">
        <f t="shared" si="1"/>
        <v>16649.608266310479</v>
      </c>
      <c r="N15" s="457">
        <f t="shared" ca="1" si="1"/>
        <v>6984.4970875347462</v>
      </c>
      <c r="O15" s="457">
        <f t="shared" si="1"/>
        <v>60.97</v>
      </c>
      <c r="P15" s="457">
        <f t="shared" si="1"/>
        <v>305.06666666666666</v>
      </c>
      <c r="Q15" s="457">
        <f t="shared" ca="1" si="1"/>
        <v>534950.59353468975</v>
      </c>
    </row>
    <row r="17" spans="1:17">
      <c r="A17" s="460" t="s">
        <v>555</v>
      </c>
      <c r="B17" s="729">
        <f ca="1">huishoudens!B10</f>
        <v>0.2085951232603287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4845.6394068191785</v>
      </c>
      <c r="C22" s="447">
        <f t="shared" ref="C22:C32" ca="1" si="3">C4*$C$17</f>
        <v>0</v>
      </c>
      <c r="D22" s="447">
        <f t="shared" ref="D22:D32" si="4">D4*$D$17</f>
        <v>7465.2181964338524</v>
      </c>
      <c r="E22" s="447">
        <f t="shared" ref="E22:E32" si="5">E4*$E$17</f>
        <v>260.50420921918152</v>
      </c>
      <c r="F22" s="447">
        <f t="shared" ref="F22:F32" si="6">F4*$F$17</f>
        <v>9341.4913827584805</v>
      </c>
      <c r="G22" s="447">
        <f t="shared" ref="G22:G32" si="7">G4*$G$17</f>
        <v>0</v>
      </c>
      <c r="H22" s="447">
        <f t="shared" ref="H22:H32" si="8">H4*$H$17</f>
        <v>0</v>
      </c>
      <c r="I22" s="447">
        <f t="shared" ref="I22:I32" si="9">I4*$I$17</f>
        <v>0</v>
      </c>
      <c r="J22" s="447">
        <f t="shared" ref="J22:J32" si="10">J4*$J$17</f>
        <v>224.72782611342566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22137.581021344122</v>
      </c>
    </row>
    <row r="23" spans="1:17">
      <c r="A23" s="446" t="s">
        <v>149</v>
      </c>
      <c r="B23" s="447">
        <f t="shared" ca="1" si="2"/>
        <v>2246.2573562105813</v>
      </c>
      <c r="C23" s="447">
        <f t="shared" ca="1" si="3"/>
        <v>0</v>
      </c>
      <c r="D23" s="447">
        <f t="shared" ca="1" si="4"/>
        <v>2864.9655798008598</v>
      </c>
      <c r="E23" s="447">
        <f t="shared" si="5"/>
        <v>30.004371152194018</v>
      </c>
      <c r="F23" s="447">
        <f t="shared" ca="1" si="6"/>
        <v>539.72646738204674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5680.9537745456819</v>
      </c>
    </row>
    <row r="24" spans="1:17">
      <c r="A24" s="446" t="s">
        <v>187</v>
      </c>
      <c r="B24" s="447">
        <f t="shared" ca="1" si="2"/>
        <v>173.50170550838078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173.50170550838078</v>
      </c>
    </row>
    <row r="25" spans="1:17">
      <c r="A25" s="446" t="s">
        <v>105</v>
      </c>
      <c r="B25" s="447">
        <f t="shared" ca="1" si="2"/>
        <v>225.69151608841568</v>
      </c>
      <c r="C25" s="447">
        <f t="shared" ca="1" si="3"/>
        <v>0</v>
      </c>
      <c r="D25" s="447">
        <f t="shared" si="4"/>
        <v>133.45496345314518</v>
      </c>
      <c r="E25" s="447">
        <f t="shared" si="5"/>
        <v>2.4253926050335415</v>
      </c>
      <c r="F25" s="447">
        <f t="shared" si="6"/>
        <v>963.79092239958857</v>
      </c>
      <c r="G25" s="447">
        <f t="shared" si="7"/>
        <v>0</v>
      </c>
      <c r="H25" s="447">
        <f t="shared" si="8"/>
        <v>0</v>
      </c>
      <c r="I25" s="447">
        <f t="shared" si="9"/>
        <v>0</v>
      </c>
      <c r="J25" s="447">
        <f t="shared" si="10"/>
        <v>38.213145189919196</v>
      </c>
      <c r="K25" s="447">
        <f t="shared" si="11"/>
        <v>0</v>
      </c>
      <c r="L25" s="447">
        <f t="shared" si="12"/>
        <v>0</v>
      </c>
      <c r="M25" s="447">
        <f t="shared" si="13"/>
        <v>0</v>
      </c>
      <c r="N25" s="447">
        <f t="shared" si="14"/>
        <v>0</v>
      </c>
      <c r="O25" s="447">
        <f t="shared" si="15"/>
        <v>0</v>
      </c>
      <c r="P25" s="448">
        <f t="shared" si="16"/>
        <v>0</v>
      </c>
      <c r="Q25" s="446">
        <f t="shared" ca="1" si="17"/>
        <v>1363.5759397361023</v>
      </c>
    </row>
    <row r="26" spans="1:17">
      <c r="A26" s="446" t="s">
        <v>640</v>
      </c>
      <c r="B26" s="447">
        <f t="shared" ca="1" si="2"/>
        <v>360.61718749428309</v>
      </c>
      <c r="C26" s="447">
        <f t="shared" ca="1" si="3"/>
        <v>0</v>
      </c>
      <c r="D26" s="447">
        <f t="shared" si="4"/>
        <v>207.46454977601454</v>
      </c>
      <c r="E26" s="447">
        <f t="shared" si="5"/>
        <v>3.7715771664268347</v>
      </c>
      <c r="F26" s="447">
        <f t="shared" si="6"/>
        <v>180.29290574255842</v>
      </c>
      <c r="G26" s="447">
        <f t="shared" si="7"/>
        <v>0</v>
      </c>
      <c r="H26" s="447">
        <f t="shared" si="8"/>
        <v>0</v>
      </c>
      <c r="I26" s="447">
        <f t="shared" si="9"/>
        <v>0</v>
      </c>
      <c r="J26" s="447">
        <f t="shared" si="10"/>
        <v>1.381980614131048</v>
      </c>
      <c r="K26" s="447">
        <f t="shared" si="11"/>
        <v>0</v>
      </c>
      <c r="L26" s="447">
        <f t="shared" si="12"/>
        <v>0</v>
      </c>
      <c r="M26" s="447">
        <f t="shared" si="13"/>
        <v>0</v>
      </c>
      <c r="N26" s="447">
        <f t="shared" si="14"/>
        <v>0</v>
      </c>
      <c r="O26" s="447">
        <f t="shared" si="15"/>
        <v>0</v>
      </c>
      <c r="P26" s="448">
        <f t="shared" si="16"/>
        <v>0</v>
      </c>
      <c r="Q26" s="446">
        <f t="shared" ca="1" si="17"/>
        <v>753.52820079341393</v>
      </c>
    </row>
    <row r="27" spans="1:17" s="452" customFormat="1">
      <c r="A27" s="450" t="s">
        <v>560</v>
      </c>
      <c r="B27" s="723">
        <f t="shared" ca="1" si="2"/>
        <v>2.8982675325859617</v>
      </c>
      <c r="C27" s="451">
        <f t="shared" ca="1" si="3"/>
        <v>0</v>
      </c>
      <c r="D27" s="451">
        <f t="shared" si="4"/>
        <v>3.0640700293283989</v>
      </c>
      <c r="E27" s="451">
        <f t="shared" si="5"/>
        <v>261.68107415275927</v>
      </c>
      <c r="F27" s="451">
        <f t="shared" si="6"/>
        <v>0</v>
      </c>
      <c r="G27" s="451">
        <f t="shared" si="7"/>
        <v>88595.60676974614</v>
      </c>
      <c r="H27" s="451">
        <f t="shared" si="8"/>
        <v>10087.571232002389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98950.8214134632</v>
      </c>
    </row>
    <row r="28" spans="1:17">
      <c r="A28" s="446" t="s">
        <v>550</v>
      </c>
      <c r="B28" s="447">
        <f t="shared" ca="1" si="2"/>
        <v>0.69669145726470094</v>
      </c>
      <c r="C28" s="447">
        <f t="shared" ca="1" si="3"/>
        <v>0</v>
      </c>
      <c r="D28" s="447">
        <f t="shared" si="4"/>
        <v>0</v>
      </c>
      <c r="E28" s="447">
        <f t="shared" si="5"/>
        <v>0</v>
      </c>
      <c r="F28" s="447">
        <f t="shared" si="6"/>
        <v>0</v>
      </c>
      <c r="G28" s="447">
        <f t="shared" si="7"/>
        <v>177.86313442565523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178.55982588291994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215.19704356973122</v>
      </c>
      <c r="C32" s="447">
        <f t="shared" ca="1" si="3"/>
        <v>0</v>
      </c>
      <c r="D32" s="447">
        <f t="shared" si="4"/>
        <v>388.08787342118899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603.28491699092024</v>
      </c>
    </row>
    <row r="33" spans="1:17" s="459" customFormat="1">
      <c r="A33" s="456" t="s">
        <v>554</v>
      </c>
      <c r="B33" s="457">
        <f ca="1">SUM(B22:B32)</f>
        <v>8070.4991746804208</v>
      </c>
      <c r="C33" s="457">
        <f t="shared" ref="C33:Q33" ca="1" si="18">SUM(C22:C32)</f>
        <v>0</v>
      </c>
      <c r="D33" s="457">
        <f t="shared" ca="1" si="18"/>
        <v>11062.255232914389</v>
      </c>
      <c r="E33" s="457">
        <f t="shared" si="18"/>
        <v>558.3866242955952</v>
      </c>
      <c r="F33" s="457">
        <f t="shared" ca="1" si="18"/>
        <v>11025.301678282674</v>
      </c>
      <c r="G33" s="457">
        <f t="shared" si="18"/>
        <v>88773.469904171798</v>
      </c>
      <c r="H33" s="457">
        <f t="shared" si="18"/>
        <v>10087.571232002389</v>
      </c>
      <c r="I33" s="457">
        <f t="shared" si="18"/>
        <v>0</v>
      </c>
      <c r="J33" s="457">
        <f t="shared" si="18"/>
        <v>264.3229519174759</v>
      </c>
      <c r="K33" s="457">
        <f t="shared" si="18"/>
        <v>0</v>
      </c>
      <c r="L33" s="457">
        <f t="shared" ca="1" si="18"/>
        <v>0</v>
      </c>
      <c r="M33" s="457">
        <f t="shared" si="18"/>
        <v>0</v>
      </c>
      <c r="N33" s="457">
        <f t="shared" ca="1" si="18"/>
        <v>0</v>
      </c>
      <c r="O33" s="457">
        <f t="shared" si="18"/>
        <v>0</v>
      </c>
      <c r="P33" s="457">
        <f t="shared" si="18"/>
        <v>0</v>
      </c>
      <c r="Q33" s="457">
        <f t="shared" ca="1" si="18"/>
        <v>129841.80679826475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2171.6829724865452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2171.6829724865452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0.2085951232603287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0.2085951232603287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2022-07-26T12:34:14Z</dcterms:modified>
</cp:coreProperties>
</file>