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F50F96B-173D-4516-8F3F-A8825DDEFF5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<sst xmlns="http://schemas.openxmlformats.org/spreadsheetml/2006/main" count="2492" uniqueCount="942">
  <si>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</si>
  <si>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</si>
  <si>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</si>
  <si>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</si>
  <si>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</si>
  <si>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</si>
  <si>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</si>
  <si>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</si>
  <si>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</si>
  <si>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</si>
  <si>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</si>
  <si>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</si>
  <si>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</si>
  <si>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</si>
  <si>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</si>
  <si>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</si>
  <si>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</si>
  <si>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</si>
  <si>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</si>
  <si>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</si>
  <si>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</si>
  <si>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</si>
  <si>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</si>
  <si>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</si>
  <si>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</si>
  <si>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</si>
  <si>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</si>
  <si>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</si>
  <si>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</si>
  <si>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</si>
  <si>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</si>
  <si>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</si>
  <si>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</si>
  <si>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</si>
  <si>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</si>
  <si>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</si>
  <si>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</si>
  <si>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</si>
  <si>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</si>
  <si>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</si>
  <si>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</si>
  <si>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</si>
  <si>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</si>
  <si>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</si>
  <si>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</si>
  <si>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</si>
  <si>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</si>
  <si>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</si>
  <si>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</si>
  <si>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</si>
  <si>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</si>
  <si>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</si>
  <si>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</si>
  <si>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</si>
  <si>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</si>
  <si>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</si>
  <si>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</si>
  <si>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</si>
  <si>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</si>
  <si>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</si>
  <si>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</si>
  <si>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</si>
  <si>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</si>
  <si>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</si>
  <si>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</si>
  <si>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</si>
  <si>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</si>
  <si>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</si>
  <si>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</si>
  <si>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</si>
  <si>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</si>
  <si>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</si>
  <si>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</si>
  <si>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</si>
  <si>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</si>
  <si>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</si>
  <si>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</si>
  <si>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</si>
  <si>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</si>
  <si>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</si>
  <si>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</si>
  <si>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</si>
  <si>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</si>
  <si>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</si>
  <si>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</si>
  <si>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</si>
  <si>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</si>
  <si>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</si>
  <si>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</si>
  <si>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</si>
  <si>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</si>
  <si>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</si>
  <si>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</si>
  <si>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</si>
  <si>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</si>
  <si>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</si>
  <si>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</si>
  <si>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</si>
  <si>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</si>
  <si>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</si>
  <si>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</si>
  <si>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</si>
  <si>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</si>
  <si>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</si>
  <si>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</si>
  <si>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</si>
  <si>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</si>
  <si>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</si>
  <si>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</si>
  <si>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</si>
  <si>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</si>
  <si>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</si>
  <si>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</si>
  <si>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</si>
  <si>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</si>
  <si>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</si>
  <si>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</si>
  <si>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</si>
  <si>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</si>
  <si>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</si>
  <si>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</si>
  <si>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</si>
  <si>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</si>
  <si>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</si>
  <si>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</si>
  <si>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</si>
  <si>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</si>
  <si>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</si>
  <si>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</si>
  <si>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</si>
  <si>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</si>
  <si>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</si>
  <si>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</si>
  <si>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</si>
  <si>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</si>
  <si>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</si>
  <si>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</si>
  <si>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</si>
  <si>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</si>
  <si>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</si>
  <si>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</si>
  <si>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</si>
  <si>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</si>
  <si>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</si>
  <si>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</si>
  <si>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</si>
  <si>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</si>
  <si>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</si>
  <si>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</si>
  <si>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</si>
  <si>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</si>
  <si>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</si>
  <si>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</si>
  <si>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</si>
  <si>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</si>
  <si>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</si>
  <si>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</si>
  <si>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</si>
  <si>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</si>
  <si>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</si>
  <si>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</si>
  <si>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</si>
  <si>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</si>
  <si>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</si>
  <si>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</si>
  <si>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</si>
  <si>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</si>
  <si>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</si>
  <si>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</si>
  <si>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</si>
  <si>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</si>
  <si>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</si>
  <si>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</si>
  <si>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</si>
  <si>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</si>
  <si>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</si>
  <si>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</si>
  <si>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</si>
  <si>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</si>
  <si>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</si>
  <si>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</si>
  <si>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</si>
  <si>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</si>
  <si>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</si>
  <si>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</si>
  <si>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</si>
  <si>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</si>
  <si>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</si>
  <si>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</si>
  <si>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</si>
  <si>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</si>
  <si>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</si>
  <si>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</si>
  <si>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</si>
  <si>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</si>
  <si>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</si>
  <si>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</si>
  <si>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</si>
  <si>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</si>
  <si>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</si>
  <si>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</si>
  <si>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</si>
  <si>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</si>
  <si>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</si>
  <si>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</si>
  <si>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</si>
  <si>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</si>
  <si>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</si>
  <si>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</si>
  <si>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</si>
  <si>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</si>
  <si>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</si>
  <si>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</si>
  <si>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</si>
  <si>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</si>
  <si>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</si>
  <si>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</si>
  <si>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</si>
  <si>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</si>
  <si>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</si>
  <si>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</si>
  <si>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</si>
  <si>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</si>
  <si>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</si>
  <si>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</si>
  <si>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</si>
  <si>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</si>
  <si>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</si>
  <si>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</si>
  <si>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</si>
  <si>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</si>
  <si>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</si>
  <si>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</si>
  <si>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</si>
  <si>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</si>
  <si>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</si>
  <si>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</si>
  <si>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</si>
  <si>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</si>
  <si>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</si>
  <si>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</si>
  <si>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</si>
  <si>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</si>
  <si>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</si>
  <si>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</si>
  <si>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</si>
  <si>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</si>
  <si>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</si>
  <si>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</si>
  <si>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</si>
  <si>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</si>
  <si>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</si>
  <si>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</si>
  <si>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</si>
  <si>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</si>
  <si>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</si>
  <si>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</si>
  <si>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</si>
  <si>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</si>
  <si>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</si>
  <si>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</si>
  <si>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</si>
  <si>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</si>
  <si>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</si>
  <si>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</si>
  <si>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</si>
  <si>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</si>
  <si>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</si>
  <si>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</si>
  <si>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</si>
  <si>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</si>
  <si>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</si>
  <si>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</si>
  <si>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</si>
  <si>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</si>
  <si>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</si>
  <si>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</si>
  <si>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</si>
  <si>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</si>
  <si>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</si>
  <si>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</si>
  <si>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</si>
  <si>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</si>
  <si>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</si>
  <si>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</si>
  <si>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</si>
  <si>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</si>
  <si>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</si>
  <si>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</si>
  <si>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</si>
  <si>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</si>
  <si>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</si>
  <si>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</si>
  <si>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</si>
  <si>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</si>
  <si>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</si>
  <si>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</si>
  <si>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</si>
  <si>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</si>
  <si>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</si>
  <si>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</si>
  <si>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</si>
  <si>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</si>
  <si>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</si>
  <si>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</si>
  <si>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</si>
  <si>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</si>
  <si>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</si>
  <si>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</si>
  <si>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</si>
  <si>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</si>
  <si>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</si>
  <si>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</si>
  <si>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</si>
  <si>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</si>
  <si>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</si>
  <si>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</si>
  <si>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</si>
  <si>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</si>
  <si>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</si>
  <si>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</si>
  <si>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</si>
  <si>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</si>
  <si>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</si>
  <si>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</si>
  <si>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</si>
  <si>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</si>
  <si>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</si>
  <si>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</si>
  <si>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</si>
  <si>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</si>
  <si>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</si>
  <si>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</si>
  <si>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</si>
  <si>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</si>
  <si>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</si>
  <si>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</si>
  <si>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</si>
  <si>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</si>
  <si>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</si>
  <si>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</si>
  <si>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</si>
  <si>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</si>
  <si>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</si>
  <si>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</si>
  <si>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</si>
  <si>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</si>
  <si>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</si>
  <si>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</si>
  <si>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</si>
  <si>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</si>
  <si>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</si>
  <si>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</si>
  <si>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</si>
  <si>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</si>
  <si>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</si>
  <si>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</si>
  <si>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</si>
  <si>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</si>
  <si>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</si>
  <si>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</si>
  <si>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</si>
  <si>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</si>
  <si>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</si>
  <si>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</si>
  <si>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</si>
  <si>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</si>
  <si>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</si>
  <si>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</si>
  <si>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</si>
  <si>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</si>
  <si>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</si>
  <si>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</si>
  <si>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</si>
  <si>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</si>
  <si>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</si>
  <si>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</si>
  <si>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</si>
  <si>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</si>
  <si>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</si>
  <si>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</si>
  <si>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</si>
  <si>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</si>
  <si>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</si>
  <si>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</si>
  <si>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</si>
  <si>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</si>
  <si>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</si>
  <si>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</si>
  <si>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</si>
  <si>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</si>
  <si>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</si>
  <si>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</si>
  <si>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</si>
  <si>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</si>
  <si>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</si>
  <si>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</si>
  <si>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</si>
  <si>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</si>
  <si>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</si>
  <si>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</si>
  <si>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</si>
  <si>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</si>
  <si>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</si>
  <si>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</si>
  <si>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</si>
  <si>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</si>
  <si>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</si>
  <si>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</si>
  <si>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</si>
  <si>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</si>
  <si>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</si>
  <si>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</si>
  <si>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</si>
  <si>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</si>
  <si>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</si>
  <si>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</si>
  <si>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</si>
  <si>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</si>
  <si>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</si>
  <si>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</si>
  <si>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</si>
  <si>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</si>
  <si>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</si>
  <si>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</si>
  <si>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</si>
  <si>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</si>
  <si>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</si>
  <si>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</si>
  <si>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</si>
  <si>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</si>
  <si>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</si>
  <si>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</si>
  <si>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</si>
  <si>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</si>
  <si>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</si>
  <si>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</si>
  <si>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</si>
  <si>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</si>
  <si>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</si>
  <si>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</si>
  <si>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</si>
  <si>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</si>
  <si>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</si>
  <si>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</si>
  <si>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</si>
  <si>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</si>
  <si>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</si>
  <si>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</si>
  <si>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</si>
  <si>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</si>
  <si>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</si>
  <si>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</si>
  <si>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</si>
  <si>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</si>
  <si>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</si>
  <si>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</si>
  <si>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</si>
  <si>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</si>
  <si>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</si>
  <si>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</si>
  <si>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</si>
  <si>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</si>
  <si>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</si>
  <si>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</si>
  <si>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</si>
  <si>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</si>
  <si>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</si>
  <si>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</si>
  <si>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</si>
  <si>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</si>
  <si>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</si>
  <si>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</si>
  <si>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</si>
  <si>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</si>
  <si>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</si>
  <si>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</si>
  <si>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</si>
  <si>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</si>
  <si>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</si>
  <si>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</si>
  <si>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</si>
  <si>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</si>
  <si>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</si>
  <si>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</si>
  <si>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</si>
  <si>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</si>
  <si>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</si>
  <si>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</si>
  <si>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</si>
  <si>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</si>
  <si>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</si>
  <si>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</si>
  <si>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</si>
  <si>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</si>
  <si>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</si>
  <si>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</si>
  <si>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</si>
  <si>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</si>
  <si>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</si>
  <si>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</si>
  <si>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</si>
  <si>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</si>
  <si>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</si>
  <si>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</si>
  <si>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</si>
  <si>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</si>
  <si>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</si>
  <si>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</si>
  <si>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</si>
  <si>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</si>
  <si>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</si>
  <si>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</si>
  <si>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</si>
  <si>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</si>
  <si>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</si>
  <si>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</si>
  <si>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</si>
  <si>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</si>
  <si>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</si>
  <si>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</si>
  <si>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</si>
  <si>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</si>
  <si>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</si>
  <si>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</si>
  <si>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</si>
  <si>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</si>
  <si>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</si>
  <si>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</si>
  <si>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</si>
  <si>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</si>
  <si>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</si>
  <si>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</si>
  <si>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</si>
  <si>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</si>
  <si>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</si>
  <si>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</si>
  <si>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</si>
  <si>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</si>
  <si>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</si>
  <si>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</si>
  <si>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</si>
  <si>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</si>
  <si>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</si>
  <si>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</si>
  <si>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</si>
  <si>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</si>
  <si>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</si>
  <si>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</si>
  <si>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</si>
  <si>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</si>
  <si>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</si>
  <si>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</si>
  <si>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</si>
  <si>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</si>
  <si>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</si>
  <si>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</si>
  <si>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</si>
  <si>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</si>
  <si>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</si>
  <si>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</si>
  <si>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</si>
  <si>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</si>
  <si>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</si>
  <si>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</si>
  <si>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</si>
  <si>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</si>
  <si>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</si>
  <si>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</si>
  <si>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</si>
  <si>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</si>
  <si>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</si>
  <si>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</si>
  <si>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</si>
  <si>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</si>
  <si>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</si>
  <si>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</si>
  <si>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</si>
  <si>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</si>
  <si>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</si>
  <si>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</si>
  <si>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</si>
  <si>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</si>
  <si>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</si>
  <si>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</si>
  <si>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</si>
  <si>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</si>
  <si>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</si>
  <si>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</si>
  <si>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</si>
  <si>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</si>
  <si>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</si>
  <si>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</si>
  <si>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</si>
  <si>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</si>
  <si>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</si>
  <si>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</si>
  <si>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</si>
  <si>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</si>
  <si>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</si>
  <si>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</si>
  <si>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</si>
  <si>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</si>
  <si>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</si>
  <si>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</si>
  <si>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</si>
  <si>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</si>
  <si>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</si>
  <si>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</si>
  <si>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</si>
  <si>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</si>
  <si>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</si>
  <si>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</si>
  <si>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</si>
  <si>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</si>
  <si>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</si>
  <si>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</si>
  <si>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</si>
  <si>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</si>
  <si>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</si>
  <si>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</si>
  <si>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</si>
  <si>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</si>
  <si>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</si>
  <si>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</si>
  <si>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</si>
  <si>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</si>
  <si>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</si>
  <si>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</si>
  <si>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</si>
  <si>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</si>
  <si>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</si>
  <si>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</si>
  <si>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</si>
  <si>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</si>
  <si>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</si>
  <si>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</si>
  <si>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</si>
  <si>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</si>
  <si>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</si>
  <si>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</si>
  <si>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</si>
  <si>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</si>
  <si>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</si>
  <si>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</si>
  <si>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</si>
  <si>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</si>
  <si>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</si>
  <si>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</si>
  <si>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</si>
  <si>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</si>
  <si>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</si>
  <si>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</si>
  <si>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</si>
  <si>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</si>
  <si>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</si>
  <si>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</si>
  <si>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</si>
  <si>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</si>
  <si>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</si>
  <si>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</si>
  <si>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</si>
  <si>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</si>
  <si>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</si>
  <si>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</si>
  <si>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</si>
  <si>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</si>
  <si>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</si>
  <si>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</si>
  <si>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</si>
  <si>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</si>
  <si>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</si>
  <si>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</si>
  <si>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</si>
  <si>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</si>
  <si>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</si>
  <si>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</si>
  <si>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</si>
  <si>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</si>
  <si>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</si>
  <si>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</si>
  <si>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</si>
  <si>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</si>
  <si>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</si>
  <si>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</si>
  <si>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</si>
  <si>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</si>
  <si>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</si>
  <si>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</si>
  <si>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</si>
  <si>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</si>
  <si>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</si>
  <si>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</si>
  <si>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</si>
  <si>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</si>
  <si>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</si>
  <si>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</si>
  <si>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</si>
  <si>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</si>
  <si>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</si>
  <si>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</si>
  <si>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</si>
  <si>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</si>
  <si>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</si>
  <si>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</si>
  <si>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</si>
  <si>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</si>
  <si>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</si>
  <si>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</si>
  <si>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</si>
  <si>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</si>
  <si>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</si>
  <si>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</si>
  <si>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</si>
  <si>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</si>
  <si>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</si>
  <si>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</si>
  <si>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</si>
  <si>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</si>
  <si>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</si>
  <si>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</si>
  <si>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</si>
  <si>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</si>
  <si>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</si>
  <si>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</si>
  <si>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</si>
  <si>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</si>
  <si>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</si>
  <si>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</si>
  <si>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</si>
  <si>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</si>
  <si>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</si>
  <si>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</si>
  <si>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</si>
  <si>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</si>
  <si>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</si>
  <si>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</si>
  <si>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</si>
  <si>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</si>
  <si>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</si>
  <si>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</si>
  <si>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</si>
  <si>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</si>
  <si>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</si>
  <si>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</si>
  <si>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</si>
  <si>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</si>
  <si>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</si>
  <si>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</si>
  <si>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</si>
  <si>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</si>
  <si>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</si>
  <si>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</si>
  <si>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</si>
  <si>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</si>
  <si>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</si>
  <si>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</si>
  <si>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</si>
  <si>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</si>
  <si>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</si>
  <si>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</si>
  <si>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</si>
  <si>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</si>
  <si>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</si>
  <si>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</si>
  <si>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</si>
  <si>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</si>
  <si>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</si>
  <si>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</si>
  <si>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</si>
  <si>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</si>
  <si>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</si>
  <si>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</si>
  <si>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</si>
  <si>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</si>
  <si>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</si>
  <si>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</si>
  <si>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</si>
  <si>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</si>
  <si>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</si>
  <si>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</si>
  <si>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</si>
  <si>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</si>
  <si>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</si>
  <si>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</si>
  <si>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</si>
  <si>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</si>
  <si>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</si>
  <si>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</si>
  <si>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</si>
  <si>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</si>
  <si>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</si>
  <si>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</si>
  <si>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</si>
  <si>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</si>
  <si>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</si>
  <si>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</si>
  <si>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</si>
  <si>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</si>
  <si>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</si>
  <si>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</si>
  <si>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</si>
  <si>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</si>
  <si>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</si>
  <si>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</si>
  <si>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</si>
  <si>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</si>
  <si>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</si>
  <si>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</si>
  <si>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</si>
  <si>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</si>
  <si>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</si>
  <si>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</si>
  <si>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</si>
  <si>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</si>
  <si>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</si>
  <si>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</si>
  <si>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</si>
  <si>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</si>
  <si>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</si>
  <si>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</si>
  <si>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</si>
  <si>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</si>
  <si>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</si>
  <si>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</si>
  <si>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</si>
  <si>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</si>
  <si>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</si>
  <si>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</si>
  <si>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</si>
  <si>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</si>
  <si>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</si>
  <si>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</si>
  <si>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</si>
  <si>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</si>
  <si>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</si>
  <si>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</si>
  <si>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</si>
  <si>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</si>
  <si>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</si>
  <si>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</si>
  <si>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</si>
  <si>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</si>
  <si>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</si>
  <si>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</si>
  <si>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</si>
  <si>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</si>
  <si>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</si>
  <si>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</si>
  <si>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</si>
  <si>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</si>
  <si>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</si>
  <si>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</si>
  <si>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</si>
  <si>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</si>
  <si>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</si>
  <si>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</si>
  <si>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</si>
  <si>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</si>
  <si>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</si>
  <si>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</si>
  <si>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</si>
  <si>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</si>
  <si>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</si>
  <si>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</si>
  <si>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</si>
  <si>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</si>
  <si>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</si>
  <si>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</si>
  <si>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</si>
  <si>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</si>
  <si>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</si>
  <si>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</si>
  <si>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</si>
  <si>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</si>
  <si>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</si>
  <si>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</si>
  <si>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</si>
  <si>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</si>
  <si>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</si>
  <si>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</si>
  <si>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</si>
  <si>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</si>
  <si>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</si>
  <si>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</si>
  <si>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</si>
  <si>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</si>
  <si>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</si>
  <si>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</si>
  <si>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</si>
  <si>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</si>
  <si>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</si>
  <si>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</si>
  <si>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</si>
  <si>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</si>
  <si>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</si>
  <si>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</si>
  <si>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</si>
  <si>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</si>
  <si>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</si>
  <si>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</si>
  <si>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</si>
  <si>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</si>
  <si>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</si>
  <si>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</si>
  <si>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</si>
  <si>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</si>
  <si>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</si>
  <si>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</si>
  <si>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</si>
  <si>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</si>
  <si>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</si>
  <si>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</si>
  <si>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</si>
  <si>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</si>
  <si>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</si>
  <si>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</si>
  <si>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</si>
  <si>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</si>
  <si>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</si>
  <si>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</si>
  <si>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</si>
  <si>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</si>
  <si>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</si>
  <si>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</si>
  <si>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</si>
  <si>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</si>
  <si>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</si>
  <si>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</si>
  <si>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</si>
  <si>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</si>
  <si>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</si>
  <si>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</si>
  <si>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</si>
  <si>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</si>
  <si>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</si>
  <si>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</si>
  <si>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41018</t>
  </si>
  <si>
    <t>GERAARDSBERGEN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</si>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</sst>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A65A2E4-8546-4DF7-83C9-C86C64806CA2}"/>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41018</v>
      </c>
      <c r="B6" s="384"/>
      <c r="C6" s="385"/>
    </row>
    <row r="7" spans="1:7" s="382" customFormat="1" ht="15.75" customHeight="1">
      <c r="A7" s="386" t="str">
        <f>txtMunicipality</f>
        <v>GERAARDSBERGEN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0.20977966500307316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0.20977966500307316</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13854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4156</v>
      </c>
      <c r="C14" s="327"/>
      <c r="D14" s="327"/>
      <c r="E14" s="327"/>
      <c r="F14" s="327"/>
    </row>
    <row r="15" spans="1:6">
      <c r="A15" s="1258" t="s">
        <v>177</v>
      </c>
      <c r="B15" s="1259">
        <v>36</v>
      </c>
      <c r="C15" s="327"/>
      <c r="D15" s="327"/>
      <c r="E15" s="327"/>
      <c r="F15" s="327"/>
    </row>
    <row r="16" spans="1:6">
      <c r="A16" s="1258" t="s">
        <v>6</v>
      </c>
      <c r="B16" s="1259">
        <v>1545</v>
      </c>
      <c r="C16" s="327"/>
      <c r="D16" s="327"/>
      <c r="E16" s="327"/>
      <c r="F16" s="327"/>
    </row>
    <row r="17" spans="1:6">
      <c r="A17" s="1258" t="s">
        <v>7</v>
      </c>
      <c r="B17" s="1259">
        <v>1012</v>
      </c>
      <c r="C17" s="327"/>
      <c r="D17" s="327"/>
      <c r="E17" s="327"/>
      <c r="F17" s="327"/>
    </row>
    <row r="18" spans="1:6">
      <c r="A18" s="1258" t="s">
        <v>8</v>
      </c>
      <c r="B18" s="1259">
        <v>1726</v>
      </c>
      <c r="C18" s="327"/>
      <c r="D18" s="327"/>
      <c r="E18" s="327"/>
      <c r="F18" s="327"/>
    </row>
    <row r="19" spans="1:6">
      <c r="A19" s="1258" t="s">
        <v>9</v>
      </c>
      <c r="B19" s="1259">
        <v>1646</v>
      </c>
      <c r="C19" s="327"/>
      <c r="D19" s="327"/>
      <c r="E19" s="327"/>
      <c r="F19" s="327"/>
    </row>
    <row r="20" spans="1:6">
      <c r="A20" s="1258" t="s">
        <v>10</v>
      </c>
      <c r="B20" s="1259">
        <v>1624</v>
      </c>
      <c r="C20" s="327"/>
      <c r="D20" s="327"/>
      <c r="E20" s="327"/>
      <c r="F20" s="327"/>
    </row>
    <row r="21" spans="1:6">
      <c r="A21" s="1258" t="s">
        <v>11</v>
      </c>
      <c r="B21" s="1259">
        <v>1030</v>
      </c>
      <c r="C21" s="327"/>
      <c r="D21" s="327"/>
      <c r="E21" s="327"/>
      <c r="F21" s="327"/>
    </row>
    <row r="22" spans="1:6">
      <c r="A22" s="1258" t="s">
        <v>12</v>
      </c>
      <c r="B22" s="1259">
        <v>4128</v>
      </c>
      <c r="C22" s="327"/>
      <c r="D22" s="327"/>
      <c r="E22" s="327"/>
      <c r="F22" s="327"/>
    </row>
    <row r="23" spans="1:6">
      <c r="A23" s="1258" t="s">
        <v>13</v>
      </c>
      <c r="B23" s="1259">
        <v>46</v>
      </c>
      <c r="C23" s="327"/>
      <c r="D23" s="327"/>
      <c r="E23" s="327"/>
      <c r="F23" s="327"/>
    </row>
    <row r="24" spans="1:6">
      <c r="A24" s="1258" t="s">
        <v>14</v>
      </c>
      <c r="B24" s="1259">
        <v>4</v>
      </c>
      <c r="C24" s="327"/>
      <c r="D24" s="327"/>
      <c r="E24" s="327"/>
      <c r="F24" s="327"/>
    </row>
    <row r="25" spans="1:6">
      <c r="A25" s="1258" t="s">
        <v>15</v>
      </c>
      <c r="B25" s="1259">
        <v>297</v>
      </c>
      <c r="C25" s="327"/>
      <c r="D25" s="327"/>
      <c r="E25" s="327"/>
      <c r="F25" s="327"/>
    </row>
    <row r="26" spans="1:6">
      <c r="A26" s="1258" t="s">
        <v>16</v>
      </c>
      <c r="B26" s="1259">
        <v>240</v>
      </c>
      <c r="C26" s="327"/>
      <c r="D26" s="327"/>
      <c r="E26" s="327"/>
      <c r="F26" s="327"/>
    </row>
    <row r="27" spans="1:6">
      <c r="A27" s="1258" t="s">
        <v>17</v>
      </c>
      <c r="B27" s="1259">
        <v>16</v>
      </c>
      <c r="C27" s="327"/>
      <c r="D27" s="327"/>
      <c r="E27" s="327"/>
      <c r="F27" s="327"/>
    </row>
    <row r="28" spans="1:6">
      <c r="A28" s="1258" t="s">
        <v>18</v>
      </c>
      <c r="B28" s="1260">
        <v>13823</v>
      </c>
      <c r="C28" s="327"/>
      <c r="D28" s="327"/>
      <c r="E28" s="327"/>
      <c r="F28" s="327"/>
    </row>
    <row r="29" spans="1:6">
      <c r="A29" s="1258" t="s">
        <v>939</v>
      </c>
      <c r="B29" s="1260">
        <v>122</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15259.550081097201</v>
      </c>
    </row>
    <row r="37" spans="1:6">
      <c r="A37" s="1258" t="s">
        <v>24</v>
      </c>
      <c r="B37" s="1258" t="s">
        <v>27</v>
      </c>
      <c r="C37" s="1259">
        <v>0</v>
      </c>
      <c r="D37" s="1259">
        <v>0</v>
      </c>
      <c r="E37" s="1259">
        <v>0</v>
      </c>
      <c r="F37" s="1259">
        <v>0</v>
      </c>
    </row>
    <row r="38" spans="1:6">
      <c r="A38" s="1258" t="s">
        <v>24</v>
      </c>
      <c r="B38" s="1258" t="s">
        <v>28</v>
      </c>
      <c r="C38" s="1259">
        <v>1</v>
      </c>
      <c r="D38" s="1259">
        <v>71945.655879509999</v>
      </c>
      <c r="E38" s="1259">
        <v>4</v>
      </c>
      <c r="F38" s="1259">
        <v>23718.809177918902</v>
      </c>
    </row>
    <row r="39" spans="1:6">
      <c r="A39" s="1258" t="s">
        <v>29</v>
      </c>
      <c r="B39" s="1258" t="s">
        <v>30</v>
      </c>
      <c r="C39" s="1259">
        <v>7599</v>
      </c>
      <c r="D39" s="1259">
        <v>127193785.659576</v>
      </c>
      <c r="E39" s="1259">
        <v>13772</v>
      </c>
      <c r="F39" s="1259">
        <v>57382602.820775598</v>
      </c>
    </row>
    <row r="40" spans="1:6">
      <c r="A40" s="1258" t="s">
        <v>29</v>
      </c>
      <c r="B40" s="1258" t="s">
        <v>28</v>
      </c>
      <c r="C40" s="1259">
        <v>0</v>
      </c>
      <c r="D40" s="1259">
        <v>0</v>
      </c>
      <c r="E40" s="1259">
        <v>1</v>
      </c>
      <c r="F40" s="1259">
        <v>10937.6088467192</v>
      </c>
    </row>
    <row r="41" spans="1:6">
      <c r="A41" s="1258" t="s">
        <v>31</v>
      </c>
      <c r="B41" s="1258" t="s">
        <v>32</v>
      </c>
      <c r="C41" s="1259">
        <v>64</v>
      </c>
      <c r="D41" s="1259">
        <v>1554621.3352834799</v>
      </c>
      <c r="E41" s="1259">
        <v>218</v>
      </c>
      <c r="F41" s="1259">
        <v>2557836.13907971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92311.841112582304</v>
      </c>
      <c r="E44" s="1259">
        <v>22</v>
      </c>
      <c r="F44" s="1259">
        <v>816536.89745021705</v>
      </c>
    </row>
    <row r="45" spans="1:6">
      <c r="A45" s="1258" t="s">
        <v>31</v>
      </c>
      <c r="B45" s="1258" t="s">
        <v>36</v>
      </c>
      <c r="C45" s="1259">
        <v>0</v>
      </c>
      <c r="D45" s="1259">
        <v>0</v>
      </c>
      <c r="E45" s="1259">
        <v>5</v>
      </c>
      <c r="F45" s="1259">
        <v>69594.069815286406</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43</v>
      </c>
      <c r="D48" s="1259">
        <v>6005318.16132701</v>
      </c>
      <c r="E48" s="1259">
        <v>56</v>
      </c>
      <c r="F48" s="1259">
        <v>2698361.96407793</v>
      </c>
    </row>
    <row r="49" spans="1:6">
      <c r="A49" s="1258" t="s">
        <v>31</v>
      </c>
      <c r="B49" s="1258" t="s">
        <v>39</v>
      </c>
      <c r="C49" s="1259">
        <v>0</v>
      </c>
      <c r="D49" s="1259">
        <v>0</v>
      </c>
      <c r="E49" s="1259">
        <v>0</v>
      </c>
      <c r="F49" s="1259">
        <v>0</v>
      </c>
    </row>
    <row r="50" spans="1:6">
      <c r="A50" s="1258" t="s">
        <v>31</v>
      </c>
      <c r="B50" s="1258" t="s">
        <v>40</v>
      </c>
      <c r="C50" s="1259">
        <v>17</v>
      </c>
      <c r="D50" s="1259">
        <v>939431.43443914701</v>
      </c>
      <c r="E50" s="1259">
        <v>35</v>
      </c>
      <c r="F50" s="1259">
        <v>1149615.75124387</v>
      </c>
    </row>
    <row r="51" spans="1:6">
      <c r="A51" s="1258" t="s">
        <v>41</v>
      </c>
      <c r="B51" s="1258" t="s">
        <v>42</v>
      </c>
      <c r="C51" s="1259">
        <v>6</v>
      </c>
      <c r="D51" s="1259">
        <v>375779.47371030098</v>
      </c>
      <c r="E51" s="1259">
        <v>82</v>
      </c>
      <c r="F51" s="1259">
        <v>1096266.6873642099</v>
      </c>
    </row>
    <row r="52" spans="1:6">
      <c r="A52" s="1258" t="s">
        <v>41</v>
      </c>
      <c r="B52" s="1258" t="s">
        <v>28</v>
      </c>
      <c r="C52" s="1259">
        <v>7</v>
      </c>
      <c r="D52" s="1259">
        <v>61677.786299048203</v>
      </c>
      <c r="E52" s="1259">
        <v>17</v>
      </c>
      <c r="F52" s="1259">
        <v>232067.41725517699</v>
      </c>
    </row>
    <row r="53" spans="1:6">
      <c r="A53" s="1258" t="s">
        <v>43</v>
      </c>
      <c r="B53" s="1258" t="s">
        <v>44</v>
      </c>
      <c r="C53" s="1259">
        <v>187</v>
      </c>
      <c r="D53" s="1259">
        <v>5241505.3404005496</v>
      </c>
      <c r="E53" s="1259">
        <v>375</v>
      </c>
      <c r="F53" s="1259">
        <v>2079518.08504772</v>
      </c>
    </row>
    <row r="54" spans="1:6">
      <c r="A54" s="1258" t="s">
        <v>45</v>
      </c>
      <c r="B54" s="1258" t="s">
        <v>46</v>
      </c>
      <c r="C54" s="1259">
        <v>0</v>
      </c>
      <c r="D54" s="1259">
        <v>0</v>
      </c>
      <c r="E54" s="1259">
        <v>1</v>
      </c>
      <c r="F54" s="1259">
        <v>2165939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60</v>
      </c>
      <c r="D57" s="1259">
        <v>2235001.60584707</v>
      </c>
      <c r="E57" s="1259">
        <v>155</v>
      </c>
      <c r="F57" s="1259">
        <v>4220867.8741608998</v>
      </c>
    </row>
    <row r="58" spans="1:6">
      <c r="A58" s="1258" t="s">
        <v>48</v>
      </c>
      <c r="B58" s="1258" t="s">
        <v>50</v>
      </c>
      <c r="C58" s="1259">
        <v>31</v>
      </c>
      <c r="D58" s="1259">
        <v>2671616.6963524902</v>
      </c>
      <c r="E58" s="1259">
        <v>51</v>
      </c>
      <c r="F58" s="1259">
        <v>810370.15586208901</v>
      </c>
    </row>
    <row r="59" spans="1:6">
      <c r="A59" s="1258" t="s">
        <v>48</v>
      </c>
      <c r="B59" s="1258" t="s">
        <v>51</v>
      </c>
      <c r="C59" s="1259">
        <v>191</v>
      </c>
      <c r="D59" s="1259">
        <v>7866895.5928645302</v>
      </c>
      <c r="E59" s="1259">
        <v>374</v>
      </c>
      <c r="F59" s="1259">
        <v>11822034.7054509</v>
      </c>
    </row>
    <row r="60" spans="1:6">
      <c r="A60" s="1258" t="s">
        <v>48</v>
      </c>
      <c r="B60" s="1258" t="s">
        <v>52</v>
      </c>
      <c r="C60" s="1259">
        <v>118</v>
      </c>
      <c r="D60" s="1259">
        <v>4815084.7554134401</v>
      </c>
      <c r="E60" s="1259">
        <v>181</v>
      </c>
      <c r="F60" s="1259">
        <v>3267163.0515780598</v>
      </c>
    </row>
    <row r="61" spans="1:6">
      <c r="A61" s="1258" t="s">
        <v>48</v>
      </c>
      <c r="B61" s="1258" t="s">
        <v>53</v>
      </c>
      <c r="C61" s="1259">
        <v>190</v>
      </c>
      <c r="D61" s="1259">
        <v>14707506.362643201</v>
      </c>
      <c r="E61" s="1259">
        <v>358</v>
      </c>
      <c r="F61" s="1259">
        <v>6498728.74577347</v>
      </c>
    </row>
    <row r="62" spans="1:6">
      <c r="A62" s="1258" t="s">
        <v>48</v>
      </c>
      <c r="B62" s="1258" t="s">
        <v>54</v>
      </c>
      <c r="C62" s="1259">
        <v>17</v>
      </c>
      <c r="D62" s="1259">
        <v>4077227.7123285201</v>
      </c>
      <c r="E62" s="1259">
        <v>32</v>
      </c>
      <c r="F62" s="1259">
        <v>1081160.1622748401</v>
      </c>
    </row>
    <row r="63" spans="1:6">
      <c r="A63" s="1258" t="s">
        <v>48</v>
      </c>
      <c r="B63" s="1258" t="s">
        <v>28</v>
      </c>
      <c r="C63" s="1259">
        <v>115</v>
      </c>
      <c r="D63" s="1259">
        <v>9256298.6380019505</v>
      </c>
      <c r="E63" s="1259">
        <v>168</v>
      </c>
      <c r="F63" s="1259">
        <v>7984385.6991425399</v>
      </c>
    </row>
    <row r="64" spans="1:6">
      <c r="A64" s="1258" t="s">
        <v>55</v>
      </c>
      <c r="B64" s="1258" t="s">
        <v>56</v>
      </c>
      <c r="C64" s="1259">
        <v>0</v>
      </c>
      <c r="D64" s="1259">
        <v>0</v>
      </c>
      <c r="E64" s="1259">
        <v>0</v>
      </c>
      <c r="F64" s="1259">
        <v>0</v>
      </c>
    </row>
    <row r="65" spans="1:6">
      <c r="A65" s="1258" t="s">
        <v>55</v>
      </c>
      <c r="B65" s="1258" t="s">
        <v>28</v>
      </c>
      <c r="C65" s="1259">
        <v>4</v>
      </c>
      <c r="D65" s="1259">
        <v>159680.06358874799</v>
      </c>
      <c r="E65" s="1259">
        <v>3</v>
      </c>
      <c r="F65" s="1259">
        <v>47144.316951830799</v>
      </c>
    </row>
    <row r="66" spans="1:6">
      <c r="A66" s="1258" t="s">
        <v>55</v>
      </c>
      <c r="B66" s="1258" t="s">
        <v>57</v>
      </c>
      <c r="C66" s="1259">
        <v>0</v>
      </c>
      <c r="D66" s="1259">
        <v>0</v>
      </c>
      <c r="E66" s="1259">
        <v>0</v>
      </c>
      <c r="F66" s="1259">
        <v>0</v>
      </c>
    </row>
    <row r="67" spans="1:6">
      <c r="A67" s="1258" t="s">
        <v>55</v>
      </c>
      <c r="B67" s="1258" t="s">
        <v>58</v>
      </c>
      <c r="C67" s="1259">
        <v>0</v>
      </c>
      <c r="D67" s="1259">
        <v>0</v>
      </c>
      <c r="E67" s="1259">
        <v>100</v>
      </c>
      <c r="F67" s="1259">
        <v>621753.71670601005</v>
      </c>
    </row>
    <row r="68" spans="1:6">
      <c r="A68" s="1253" t="s">
        <v>55</v>
      </c>
      <c r="B68" s="1253" t="s">
        <v>59</v>
      </c>
      <c r="C68" s="1261">
        <v>4</v>
      </c>
      <c r="D68" s="1261">
        <v>84495.502313270394</v>
      </c>
      <c r="E68" s="1261">
        <v>17</v>
      </c>
      <c r="F68" s="1261">
        <v>112897.10390955499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104194035</v>
      </c>
      <c r="E73" s="445"/>
      <c r="F73" s="327"/>
    </row>
    <row r="74" spans="1:6">
      <c r="A74" s="1258" t="s">
        <v>63</v>
      </c>
      <c r="B74" s="1258" t="s">
        <v>724</v>
      </c>
      <c r="C74" s="1271" t="s">
        <v>718</v>
      </c>
      <c r="D74" s="1259">
        <v>11903864.491499605</v>
      </c>
      <c r="E74" s="445"/>
      <c r="F74" s="327"/>
    </row>
    <row r="75" spans="1:6">
      <c r="A75" s="1258" t="s">
        <v>64</v>
      </c>
      <c r="B75" s="1258" t="s">
        <v>723</v>
      </c>
      <c r="C75" s="1271" t="s">
        <v>719</v>
      </c>
      <c r="D75" s="1259">
        <v>50540746</v>
      </c>
      <c r="E75" s="445"/>
      <c r="F75" s="327"/>
    </row>
    <row r="76" spans="1:6">
      <c r="A76" s="1258" t="s">
        <v>64</v>
      </c>
      <c r="B76" s="1258" t="s">
        <v>724</v>
      </c>
      <c r="C76" s="1271" t="s">
        <v>720</v>
      </c>
      <c r="D76" s="1259">
        <v>1192666.4914996042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568439.01700079138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4045.0042036596797</v>
      </c>
      <c r="C91" s="327"/>
      <c r="D91" s="327"/>
      <c r="E91" s="327"/>
      <c r="F91" s="327"/>
    </row>
    <row r="92" spans="1:6">
      <c r="A92" s="1253" t="s">
        <v>68</v>
      </c>
      <c r="B92" s="1254">
        <v>1540.0644465119451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4938</v>
      </c>
      <c r="C97" s="327"/>
      <c r="D97" s="327"/>
      <c r="E97" s="327"/>
      <c r="F97" s="327"/>
    </row>
    <row r="98" spans="1:6">
      <c r="A98" s="1258" t="s">
        <v>71</v>
      </c>
      <c r="B98" s="1259">
        <v>2</v>
      </c>
      <c r="C98" s="327"/>
      <c r="D98" s="327"/>
      <c r="E98" s="327"/>
      <c r="F98" s="327"/>
    </row>
    <row r="99" spans="1:6">
      <c r="A99" s="1258" t="s">
        <v>72</v>
      </c>
      <c r="B99" s="1259">
        <v>288</v>
      </c>
      <c r="C99" s="327"/>
      <c r="D99" s="327"/>
      <c r="E99" s="327"/>
      <c r="F99" s="327"/>
    </row>
    <row r="100" spans="1:6">
      <c r="A100" s="1258" t="s">
        <v>73</v>
      </c>
      <c r="B100" s="1259">
        <v>1062</v>
      </c>
      <c r="C100" s="327"/>
      <c r="D100" s="327"/>
      <c r="E100" s="327"/>
      <c r="F100" s="327"/>
    </row>
    <row r="101" spans="1:6">
      <c r="A101" s="1258" t="s">
        <v>74</v>
      </c>
      <c r="B101" s="1259">
        <v>192</v>
      </c>
      <c r="C101" s="327"/>
      <c r="D101" s="327"/>
      <c r="E101" s="327"/>
      <c r="F101" s="327"/>
    </row>
    <row r="102" spans="1:6">
      <c r="A102" s="1258" t="s">
        <v>75</v>
      </c>
      <c r="B102" s="1259">
        <v>251</v>
      </c>
      <c r="C102" s="327"/>
      <c r="D102" s="327"/>
      <c r="E102" s="327"/>
      <c r="F102" s="327"/>
    </row>
    <row r="103" spans="1:6">
      <c r="A103" s="1258" t="s">
        <v>76</v>
      </c>
      <c r="B103" s="1259">
        <v>406</v>
      </c>
      <c r="C103" s="327"/>
      <c r="D103" s="327"/>
      <c r="E103" s="327"/>
      <c r="F103" s="327"/>
    </row>
    <row r="104" spans="1:6">
      <c r="A104" s="1258" t="s">
        <v>77</v>
      </c>
      <c r="B104" s="1259">
        <v>5242</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16</v>
      </c>
      <c r="C123" s="1259">
        <v>5</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58</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110005.64350583065</v>
      </c>
      <c r="C3" s="44" t="s">
        <v>163</v>
      </c>
      <c r="D3" s="44"/>
      <c r="E3" s="157"/>
      <c r="F3" s="44"/>
      <c r="G3" s="44"/>
      <c r="H3" s="44"/>
      <c r="I3" s="44"/>
      <c r="J3" s="44"/>
      <c r="K3" s="97"/>
    </row>
    <row r="4" spans="1:11">
      <c r="A4" s="352" t="s">
        <v>164</v>
      </c>
      <c r="B4" s="50">
        <f>IF(ISERROR('SEAP template'!B78+'SEAP template'!C78),0,'SEAP template'!B78+'SEAP template'!C78)</f>
        <v>5585.0686501716245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0.20977966500307316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2165.9389999999999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2165.9389999999999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0.20977966500307316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454.36995783709125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57393.540429622313</v>
      </c>
      <c r="C5" s="18">
        <f>IF(ISERROR('Eigen informatie GS &amp; warmtenet'!B57),0,'Eigen informatie GS &amp; warmtenet'!B57)</f>
        <v>0</v>
      </c>
      <c r="D5" s="31">
        <f>(SUM(HH_hh_gas_kWh,HH_rest_gas_kWh)/1000)*0.902</f>
        <v>114728.79466493755</v>
      </c>
      <c r="E5" s="18">
        <f>B32*B41</f>
        <v>3437.4556626599865</v>
      </c>
      <c r="F5" s="18">
        <f>B36*B45</f>
        <v>104798.04320370301</v>
      </c>
      <c r="G5" s="19"/>
      <c r="H5" s="18"/>
      <c r="I5" s="18"/>
      <c r="J5" s="18">
        <f>B35*B44+C35*C44</f>
        <v>1901.5239774896302</v>
      </c>
      <c r="K5" s="18"/>
      <c r="L5" s="18"/>
      <c r="M5" s="18"/>
      <c r="N5" s="18">
        <f>B34*B43+C34*C43</f>
        <v>20315.637810298176</v>
      </c>
      <c r="O5" s="18">
        <f>B52*B53*B54</f>
        <v>100.05333333333334</v>
      </c>
      <c r="P5" s="18">
        <f>B60*B61*B62/1000-B60*B61*B62/1000/B63</f>
        <v>495.73333333333335</v>
      </c>
    </row>
    <row r="6" spans="1:16">
      <c r="A6" s="17" t="s">
        <v>597</v>
      </c>
      <c r="B6" s="731">
        <f>kWh_PV_kleiner_dan_10kW</f>
        <v>4045.0042036596797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61438.544633281992</v>
      </c>
      <c r="C8" s="22">
        <f>C5</f>
        <v>0</v>
      </c>
      <c r="D8" s="22">
        <f>D5</f>
        <v>114728.79466493755</v>
      </c>
      <c r="E8" s="22">
        <f>E5</f>
        <v>3437.4556626599865</v>
      </c>
      <c r="F8" s="22">
        <f>F5</f>
        <v>104798.04320370301</v>
      </c>
      <c r="G8" s="22"/>
      <c r="H8" s="22"/>
      <c r="I8" s="22"/>
      <c r="J8" s="22">
        <f>J5</f>
        <v>1901.5239774896302</v>
      </c>
      <c r="K8" s="22"/>
      <c r="L8" s="22">
        <f>L5</f>
        <v>0</v>
      </c>
      <c r="M8" s="22">
        <f>M5</f>
        <v>0</v>
      </c>
      <c r="N8" s="22">
        <f>N5</f>
        <v>20315.637810298176</v>
      </c>
      <c r="O8" s="22">
        <f>O5</f>
        <v>100.05333333333334</v>
      </c>
      <c r="P8" s="22">
        <f>P5</f>
        <v>495.73333333333335</v>
      </c>
    </row>
    <row r="9" spans="1:16">
      <c r="B9" s="20"/>
      <c r="C9" s="20"/>
      <c r="D9" s="258"/>
      <c r="E9" s="20"/>
      <c r="F9" s="20"/>
      <c r="G9" s="20"/>
      <c r="H9" s="20"/>
      <c r="I9" s="20"/>
      <c r="J9" s="20"/>
      <c r="K9" s="20"/>
      <c r="L9" s="20"/>
      <c r="M9" s="20"/>
      <c r="N9" s="20"/>
      <c r="O9" s="20"/>
      <c r="P9" s="20"/>
    </row>
    <row r="10" spans="1:16">
      <c r="A10" s="25" t="s">
        <v>207</v>
      </c>
      <c r="B10" s="26">
        <f ca="1">'EF ele_warmte'!B12</f>
        <v>0.20977966500307316</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12888.557311446255</v>
      </c>
      <c r="C12" s="24">
        <f ca="1">C10*C8</f>
        <v>0</v>
      </c>
      <c r="D12" s="24">
        <f>D8*D10</f>
        <v>23175.216522317387</v>
      </c>
      <c r="E12" s="24">
        <f>E10*E8</f>
        <v>780.30243542381697</v>
      </c>
      <c r="F12" s="24">
        <f>F10*F8</f>
        <v>27981.077535388704</v>
      </c>
      <c r="G12" s="24"/>
      <c r="H12" s="24"/>
      <c r="I12" s="24"/>
      <c r="J12" s="24">
        <f>J10*J8</f>
        <v>673.13948803132905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13854</v>
      </c>
      <c r="C26" s="37"/>
      <c r="D26" s="228"/>
    </row>
    <row r="27" spans="1:5" s="16" customFormat="1">
      <c r="A27" s="230" t="s">
        <v>623</v>
      </c>
      <c r="B27" s="38">
        <f>SUM(HH_hh_gas_aantal,HH_rest_gas_aantal)</f>
        <v>7599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7219.05</v>
      </c>
      <c r="C31" s="35" t="s">
        <v>104</v>
      </c>
      <c r="D31" s="174"/>
    </row>
    <row r="32" spans="1:5">
      <c r="A32" s="171" t="s">
        <v>72</v>
      </c>
      <c r="B32" s="34">
        <f>IF((B21*($B$26-($B$27-0.05*$B$27)-$B$60))&lt;0,0,B21*($B$26-($B$27-0.05*$B$27)-$B$60))</f>
        <v>162.41713095982064</v>
      </c>
      <c r="C32" s="35" t="s">
        <v>104</v>
      </c>
      <c r="D32" s="174"/>
    </row>
    <row r="33" spans="1:6">
      <c r="A33" s="171" t="s">
        <v>73</v>
      </c>
      <c r="B33" s="34">
        <f>IF((B22*($B$26-($B$27-0.05*$B$27)-$B$60))&lt;0,0,B22*($B$26-($B$27-0.05*$B$27)-$B$60))</f>
        <v>1093.257780587262</v>
      </c>
      <c r="C33" s="35" t="s">
        <v>104</v>
      </c>
      <c r="D33" s="174"/>
    </row>
    <row r="34" spans="1:6">
      <c r="A34" s="171" t="s">
        <v>74</v>
      </c>
      <c r="B34" s="34">
        <f>IF((B24*($B$26-($B$27-0.05*$B$27)-$B$60))&lt;0,0,B24*($B$26-($B$27-0.05*$B$27)-$B$60))</f>
        <v>277.27321694293801</v>
      </c>
      <c r="C34" s="34">
        <f>B26*C24</f>
        <v>2833.175247527327</v>
      </c>
      <c r="D34" s="233"/>
    </row>
    <row r="35" spans="1:6">
      <c r="A35" s="171" t="s">
        <v>76</v>
      </c>
      <c r="B35" s="34">
        <f>IF((B19*($B$26-($B$27-0.05*$B$27)-$B$60))&lt;0,0,B19*($B$26-($B$27-0.05*$B$27)-$B$60))</f>
        <v>103.08140749908783</v>
      </c>
      <c r="C35" s="34">
        <f>B35/2</f>
        <v>51.540703749543916</v>
      </c>
      <c r="D35" s="233"/>
    </row>
    <row r="36" spans="1:6">
      <c r="A36" s="171" t="s">
        <v>77</v>
      </c>
      <c r="B36" s="34">
        <f>IF((B18*($B$26-($B$27-0.05*$B$27)-$B$60))&lt;0,0,B18*($B$26-($B$27-0.05*$B$27)-$B$60))</f>
        <v>4972.9204640108892</v>
      </c>
      <c r="C36" s="35" t="s">
        <v>104</v>
      </c>
      <c r="D36" s="174"/>
    </row>
    <row r="37" spans="1:6">
      <c r="A37" s="171" t="s">
        <v>78</v>
      </c>
      <c r="B37" s="34">
        <f>B60</f>
        <v>26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35684.7103942428</v>
      </c>
      <c r="C5" s="18">
        <f>IF(ISERROR('Eigen informatie GS &amp; warmtenet'!B58),0,'Eigen informatie GS &amp; warmtenet'!B58)</f>
        <v>0</v>
      </c>
      <c r="D5" s="31">
        <f>SUM(D6:D12)</f>
        <v>41157.92748983299</v>
      </c>
      <c r="E5" s="18">
        <f>SUM(E6:E12)</f>
        <v>346.51098550955982</v>
      </c>
      <c r="F5" s="18">
        <f>SUM(F6:F12)</f>
        <v>7339.1664789792321</v>
      </c>
      <c r="G5" s="19"/>
      <c r="H5" s="18"/>
      <c r="I5" s="18"/>
      <c r="J5" s="18">
        <f>SUM(J6:J12)</f>
        <v>0</v>
      </c>
      <c r="K5" s="18"/>
      <c r="L5" s="18"/>
      <c r="M5" s="18"/>
      <c r="N5" s="18">
        <f>SUM(N6:N12)</f>
        <v>2580.8489604042047</v>
      </c>
      <c r="O5" s="18">
        <f>B38*B39*B40</f>
        <v>1.5633333333333335</v>
      </c>
      <c r="P5" s="18">
        <f>B46*B47*B48/1000-B46*B47*B48/1000/B49</f>
        <v>0</v>
      </c>
      <c r="R5" s="33"/>
    </row>
    <row r="6" spans="1:18">
      <c r="A6" s="33" t="s">
        <v>53</v>
      </c>
      <c r="B6" s="38">
        <f>B26</f>
        <v>6498.7287457734701</v>
      </c>
      <c r="C6" s="34"/>
      <c r="D6" s="38">
        <f>IF(ISERROR(TER_kantoor_gas_kWh/1000),0,TER_kantoor_gas_kWh/1000)*0.902</f>
        <v>13266.170739104167</v>
      </c>
      <c r="E6" s="34">
        <f>$C$26*'E Balans VL '!I12/100/3.6*1000000</f>
        <v>10.615868830446342</v>
      </c>
      <c r="F6" s="34">
        <f>$C$26*('E Balans VL '!L12+'E Balans VL '!N12)/100/3.6*1000000</f>
        <v>763.48384276286345</v>
      </c>
      <c r="G6" s="35"/>
      <c r="H6" s="34"/>
      <c r="I6" s="34"/>
      <c r="J6" s="34">
        <f>$C$26*('E Balans VL '!D12+'E Balans VL '!E12)/100/3.6*1000000</f>
        <v>0</v>
      </c>
      <c r="K6" s="34"/>
      <c r="L6" s="34"/>
      <c r="M6" s="34"/>
      <c r="N6" s="34">
        <f>$C$26*'E Balans VL '!Y12/100/3.6*1000000</f>
        <v>47.319057202355175</v>
      </c>
      <c r="O6" s="34"/>
      <c r="P6" s="34"/>
      <c r="R6" s="33"/>
    </row>
    <row r="7" spans="1:18">
      <c r="A7" s="33" t="s">
        <v>52</v>
      </c>
      <c r="B7" s="38">
        <f t="shared" ref="B7:B12" si="0">B27</f>
        <v>3267.1630515780598</v>
      </c>
      <c r="C7" s="34"/>
      <c r="D7" s="38">
        <f>IF(ISERROR(TER_horeca_gas_kWh/1000),0,TER_horeca_gas_kWh/1000)*0.902</f>
        <v>4343.206449382923</v>
      </c>
      <c r="E7" s="34">
        <f>$C$27*'E Balans VL '!I9/100/3.6*1000000</f>
        <v>169.0330397653928</v>
      </c>
      <c r="F7" s="34">
        <f>$C$27*('E Balans VL '!L9+'E Balans VL '!N9)/100/3.6*1000000</f>
        <v>743.33027318697737</v>
      </c>
      <c r="G7" s="35"/>
      <c r="H7" s="34"/>
      <c r="I7" s="34"/>
      <c r="J7" s="34">
        <f>$C$27*('E Balans VL '!D9+'E Balans VL '!E9)/100/3.6*1000000</f>
        <v>0</v>
      </c>
      <c r="K7" s="34"/>
      <c r="L7" s="34"/>
      <c r="M7" s="34"/>
      <c r="N7" s="34">
        <f>$C$27*'E Balans VL '!Y9/100/3.6*1000000</f>
        <v>0.34397516541466922</v>
      </c>
      <c r="O7" s="34"/>
      <c r="P7" s="34"/>
      <c r="R7" s="33"/>
    </row>
    <row r="8" spans="1:18">
      <c r="A8" s="6" t="s">
        <v>51</v>
      </c>
      <c r="B8" s="38">
        <f t="shared" si="0"/>
        <v>11822.0347054509</v>
      </c>
      <c r="C8" s="34"/>
      <c r="D8" s="38">
        <f>IF(ISERROR(TER_handel_gas_kWh/1000),0,TER_handel_gas_kWh/1000)*0.902</f>
        <v>7095.9398247638064</v>
      </c>
      <c r="E8" s="34">
        <f>$C$28*'E Balans VL '!I13/100/3.6*1000000</f>
        <v>62.09814562753499</v>
      </c>
      <c r="F8" s="34">
        <f>$C$28*('E Balans VL '!L13+'E Balans VL '!N13)/100/3.6*1000000</f>
        <v>2228.849466440905</v>
      </c>
      <c r="G8" s="35"/>
      <c r="H8" s="34"/>
      <c r="I8" s="34"/>
      <c r="J8" s="34">
        <f>$C$28*('E Balans VL '!D13+'E Balans VL '!E13)/100/3.6*1000000</f>
        <v>0</v>
      </c>
      <c r="K8" s="34"/>
      <c r="L8" s="34"/>
      <c r="M8" s="34"/>
      <c r="N8" s="34">
        <f>$C$28*'E Balans VL '!Y13/100/3.6*1000000</f>
        <v>58.608258187046609</v>
      </c>
      <c r="O8" s="34"/>
      <c r="P8" s="34"/>
      <c r="R8" s="33"/>
    </row>
    <row r="9" spans="1:18">
      <c r="A9" s="33" t="s">
        <v>50</v>
      </c>
      <c r="B9" s="38">
        <f t="shared" si="0"/>
        <v>810.37015586208906</v>
      </c>
      <c r="C9" s="34"/>
      <c r="D9" s="38">
        <f>IF(ISERROR(TER_gezond_gas_kWh/1000),0,TER_gezond_gas_kWh/1000)*0.902</f>
        <v>2409.7982601099461</v>
      </c>
      <c r="E9" s="34">
        <f>$C$29*'E Balans VL '!I10/100/3.6*1000000</f>
        <v>0.7194008313876058</v>
      </c>
      <c r="F9" s="34">
        <f>$C$29*('E Balans VL '!L10+'E Balans VL '!N10)/100/3.6*1000000</f>
        <v>251.87536654212025</v>
      </c>
      <c r="G9" s="35"/>
      <c r="H9" s="34"/>
      <c r="I9" s="34"/>
      <c r="J9" s="34">
        <f>$C$29*('E Balans VL '!D10+'E Balans VL '!E10)/100/3.6*1000000</f>
        <v>0</v>
      </c>
      <c r="K9" s="34"/>
      <c r="L9" s="34"/>
      <c r="M9" s="34"/>
      <c r="N9" s="34">
        <f>$C$29*'E Balans VL '!Y10/100/3.6*1000000</f>
        <v>6.2552406744391646</v>
      </c>
      <c r="O9" s="34"/>
      <c r="P9" s="34"/>
      <c r="R9" s="33"/>
    </row>
    <row r="10" spans="1:18">
      <c r="A10" s="33" t="s">
        <v>49</v>
      </c>
      <c r="B10" s="38">
        <f t="shared" si="0"/>
        <v>4220.8678741609001</v>
      </c>
      <c r="C10" s="34"/>
      <c r="D10" s="38">
        <f>IF(ISERROR(TER_ander_gas_kWh/1000),0,TER_ander_gas_kWh/1000)*0.902</f>
        <v>2015.9714484740573</v>
      </c>
      <c r="E10" s="34">
        <f>$C$30*'E Balans VL '!I14/100/3.6*1000000</f>
        <v>34.427234010580761</v>
      </c>
      <c r="F10" s="34">
        <f>$C$30*('E Balans VL '!L14+'E Balans VL '!N14)/100/3.6*1000000</f>
        <v>1230.3046201457312</v>
      </c>
      <c r="G10" s="35"/>
      <c r="H10" s="34"/>
      <c r="I10" s="34"/>
      <c r="J10" s="34">
        <f>$C$30*('E Balans VL '!D14+'E Balans VL '!E14)/100/3.6*1000000</f>
        <v>0</v>
      </c>
      <c r="K10" s="34"/>
      <c r="L10" s="34"/>
      <c r="M10" s="34"/>
      <c r="N10" s="34">
        <f>$C$30*'E Balans VL '!Y14/100/3.6*1000000</f>
        <v>2004.7240890295675</v>
      </c>
      <c r="O10" s="34"/>
      <c r="P10" s="34"/>
      <c r="R10" s="33"/>
    </row>
    <row r="11" spans="1:18">
      <c r="A11" s="33" t="s">
        <v>54</v>
      </c>
      <c r="B11" s="38">
        <f t="shared" si="0"/>
        <v>1081.1601622748401</v>
      </c>
      <c r="C11" s="34"/>
      <c r="D11" s="38">
        <f>IF(ISERROR(TER_onderwijs_gas_kWh/1000),0,TER_onderwijs_gas_kWh/1000)*0.902</f>
        <v>3677.6593965203256</v>
      </c>
      <c r="E11" s="34">
        <f>$C$31*'E Balans VL '!I11/100/3.6*1000000</f>
        <v>0.90197554147994274</v>
      </c>
      <c r="F11" s="34">
        <f>$C$31*('E Balans VL '!L11+'E Balans VL '!N11)/100/3.6*1000000</f>
        <v>565.77258898018511</v>
      </c>
      <c r="G11" s="35"/>
      <c r="H11" s="34"/>
      <c r="I11" s="34"/>
      <c r="J11" s="34">
        <f>$C$31*('E Balans VL '!D11+'E Balans VL '!E11)/100/3.6*1000000</f>
        <v>0</v>
      </c>
      <c r="K11" s="34"/>
      <c r="L11" s="34"/>
      <c r="M11" s="34"/>
      <c r="N11" s="34">
        <f>$C$31*'E Balans VL '!Y11/100/3.6*1000000</f>
        <v>4.7601135566747912</v>
      </c>
      <c r="O11" s="34"/>
      <c r="P11" s="34"/>
      <c r="R11" s="33"/>
    </row>
    <row r="12" spans="1:18">
      <c r="A12" s="33" t="s">
        <v>249</v>
      </c>
      <c r="B12" s="38">
        <f t="shared" si="0"/>
        <v>7984.38569914254</v>
      </c>
      <c r="C12" s="34"/>
      <c r="D12" s="38">
        <f>IF(ISERROR(TER_rest_gas_kWh/1000),0,TER_rest_gas_kWh/1000)*0.902</f>
        <v>8349.18137147776</v>
      </c>
      <c r="E12" s="34">
        <f>$C$32*'E Balans VL '!I8/100/3.6*1000000</f>
        <v>68.715320902737332</v>
      </c>
      <c r="F12" s="34">
        <f>$C$32*('E Balans VL '!L8+'E Balans VL '!N8)/100/3.6*1000000</f>
        <v>1555.5503209204494</v>
      </c>
      <c r="G12" s="35"/>
      <c r="H12" s="34"/>
      <c r="I12" s="34"/>
      <c r="J12" s="34">
        <f>$C$32*('E Balans VL '!D8+'E Balans VL '!E8)/100/3.6*1000000</f>
        <v>0</v>
      </c>
      <c r="K12" s="34"/>
      <c r="L12" s="34"/>
      <c r="M12" s="34"/>
      <c r="N12" s="34">
        <f>$C$32*'E Balans VL '!Y8/100/3.6*1000000</f>
        <v>458.83822658870702</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35684.7103942428</v>
      </c>
      <c r="C16" s="22">
        <f t="shared" ca="1" si="1"/>
        <v>0</v>
      </c>
      <c r="D16" s="22">
        <f t="shared" ca="1" si="1"/>
        <v>41157.92748983299</v>
      </c>
      <c r="E16" s="22">
        <f t="shared" si="1"/>
        <v>346.51098550955982</v>
      </c>
      <c r="F16" s="22">
        <f t="shared" ca="1" si="1"/>
        <v>7339.1664789792321</v>
      </c>
      <c r="G16" s="22">
        <f t="shared" si="1"/>
        <v>0</v>
      </c>
      <c r="H16" s="22">
        <f t="shared" si="1"/>
        <v>0</v>
      </c>
      <c r="I16" s="22">
        <f t="shared" si="1"/>
        <v>0</v>
      </c>
      <c r="J16" s="22">
        <f t="shared" si="1"/>
        <v>0</v>
      </c>
      <c r="K16" s="22">
        <f t="shared" si="1"/>
        <v>0</v>
      </c>
      <c r="L16" s="22">
        <f t="shared" ca="1" si="1"/>
        <v>0</v>
      </c>
      <c r="M16" s="22">
        <f t="shared" si="1"/>
        <v>0</v>
      </c>
      <c r="N16" s="22">
        <f t="shared" ca="1" si="1"/>
        <v>2580.8489604042047</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0.20977966500307316</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7485.9265922359373</v>
      </c>
      <c r="C20" s="24">
        <f t="shared" ref="C20:P20" ca="1" si="2">C16*C18</f>
        <v>0</v>
      </c>
      <c r="D20" s="24">
        <f t="shared" ca="1" si="2"/>
        <v>8313.9013529462645</v>
      </c>
      <c r="E20" s="24">
        <f t="shared" si="2"/>
        <v>78.657993710670084</v>
      </c>
      <c r="F20" s="24">
        <f t="shared" ca="1" si="2"/>
        <v>1959.557449887455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6498.7287457734701</v>
      </c>
      <c r="C26" s="40">
        <f>IF(ISERROR(B26*3.6/1000000/'E Balans VL '!Z12*100),0,B26*3.6/1000000/'E Balans VL '!Z12*100)</f>
        <v>0.13774092198510154</v>
      </c>
      <c r="D26" s="236" t="s">
        <v>660</v>
      </c>
      <c r="F26" s="6"/>
    </row>
    <row r="27" spans="1:18">
      <c r="A27" s="231" t="s">
        <v>52</v>
      </c>
      <c r="B27" s="34">
        <f>IF(ISERROR(TER_horeca_ele_kWh/1000),0,TER_horeca_ele_kWh/1000)</f>
        <v>3267.1630515780598</v>
      </c>
      <c r="C27" s="40">
        <f>IF(ISERROR(B27*3.6/1000000/'E Balans VL '!Z9*100),0,B27*3.6/1000000/'E Balans VL '!Z9*100)</f>
        <v>0.25637900527801433</v>
      </c>
      <c r="D27" s="236" t="s">
        <v>660</v>
      </c>
      <c r="F27" s="6"/>
    </row>
    <row r="28" spans="1:18">
      <c r="A28" s="171" t="s">
        <v>51</v>
      </c>
      <c r="B28" s="34">
        <f>IF(ISERROR(TER_handel_ele_kWh/1000),0,TER_handel_ele_kWh/1000)</f>
        <v>11822.0347054509</v>
      </c>
      <c r="C28" s="40">
        <f>IF(ISERROR(B28*3.6/1000000/'E Balans VL '!Z13*100),0,B28*3.6/1000000/'E Balans VL '!Z13*100)</f>
        <v>0.33014740067722265</v>
      </c>
      <c r="D28" s="236" t="s">
        <v>660</v>
      </c>
      <c r="F28" s="6"/>
    </row>
    <row r="29" spans="1:18">
      <c r="A29" s="231" t="s">
        <v>50</v>
      </c>
      <c r="B29" s="34">
        <f>IF(ISERROR(TER_gezond_ele_kWh/1000),0,TER_gezond_ele_kWh/1000)</f>
        <v>810.37015586208906</v>
      </c>
      <c r="C29" s="40">
        <f>IF(ISERROR(B29*3.6/1000000/'E Balans VL '!Z10*100),0,B29*3.6/1000000/'E Balans VL '!Z10*100)</f>
        <v>9.2867874924714211E-2</v>
      </c>
      <c r="D29" s="236" t="s">
        <v>660</v>
      </c>
      <c r="F29" s="6"/>
    </row>
    <row r="30" spans="1:18">
      <c r="A30" s="231" t="s">
        <v>49</v>
      </c>
      <c r="B30" s="34">
        <f>IF(ISERROR(TER_ander_ele_kWh/1000),0,TER_ander_ele_kWh/1000)</f>
        <v>4220.8678741609001</v>
      </c>
      <c r="C30" s="40">
        <f>IF(ISERROR(B30*3.6/1000000/'E Balans VL '!Z14*100),0,B30*3.6/1000000/'E Balans VL '!Z14*100)</f>
        <v>0.31473763389253523</v>
      </c>
      <c r="D30" s="236" t="s">
        <v>660</v>
      </c>
      <c r="F30" s="6"/>
    </row>
    <row r="31" spans="1:18">
      <c r="A31" s="231" t="s">
        <v>54</v>
      </c>
      <c r="B31" s="34">
        <f>IF(ISERROR(TER_onderwijs_ele_kWh/1000),0,TER_onderwijs_ele_kWh/1000)</f>
        <v>1081.1601622748401</v>
      </c>
      <c r="C31" s="40">
        <f>IF(ISERROR(B31*3.6/1000000/'E Balans VL '!Z11*100),0,B31*3.6/1000000/'E Balans VL '!Z11*100)</f>
        <v>0.30899795888833437</v>
      </c>
      <c r="D31" s="236" t="s">
        <v>660</v>
      </c>
    </row>
    <row r="32" spans="1:18">
      <c r="A32" s="231" t="s">
        <v>249</v>
      </c>
      <c r="B32" s="34">
        <f>IF(ISERROR(TER_rest_ele_kWh/1000),0,TER_rest_ele_kWh/1000)</f>
        <v>7984.38569914254</v>
      </c>
      <c r="C32" s="40">
        <f>IF(ISERROR(B32*3.6/1000000/'E Balans VL '!Z8*100),0,B32*3.6/1000000/'E Balans VL '!Z8*100)</f>
        <v>6.5786372258730574E-2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7291.9448216670125</v>
      </c>
      <c r="C5" s="18">
        <f>IF(ISERROR('Eigen informatie GS &amp; warmtenet'!B59),0,'Eigen informatie GS &amp; warmtenet'!B59)</f>
        <v>0</v>
      </c>
      <c r="D5" s="31">
        <f>SUM(D6:D15)</f>
        <v>7749.6978604903215</v>
      </c>
      <c r="E5" s="18">
        <f>SUM(E6:E15)</f>
        <v>59.535440080527579</v>
      </c>
      <c r="F5" s="18">
        <f>SUM(F6:F15)</f>
        <v>2820.8762065091241</v>
      </c>
      <c r="G5" s="19"/>
      <c r="H5" s="18"/>
      <c r="I5" s="18"/>
      <c r="J5" s="18">
        <f>SUM(J6:J15)</f>
        <v>27.665549597863894</v>
      </c>
      <c r="K5" s="18"/>
      <c r="L5" s="18"/>
      <c r="M5" s="18"/>
      <c r="N5" s="18">
        <f>SUM(N6:N15)</f>
        <v>296.45661766400787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816.536897450217</v>
      </c>
      <c r="C8" s="34"/>
      <c r="D8" s="38">
        <f>IF( ISERROR(IND_metaal_Gas_kWH/1000),0,IND_metaal_Gas_kWH/1000)*0.902</f>
        <v>83.265280683549236</v>
      </c>
      <c r="E8" s="34">
        <f>C30*'E Balans VL '!I18/100/3.6*1000000</f>
        <v>7.436054375042354</v>
      </c>
      <c r="F8" s="34">
        <f>C30*'E Balans VL '!L18/100/3.6*1000000+C30*'E Balans VL '!N18/100/3.6*1000000</f>
        <v>107.69501588598079</v>
      </c>
      <c r="G8" s="35"/>
      <c r="H8" s="34"/>
      <c r="I8" s="34"/>
      <c r="J8" s="41">
        <f>C30*'E Balans VL '!D18/100/3.6*1000000+C30*'E Balans VL '!E18/100/3.6*1000000</f>
        <v>13.39001954929952</v>
      </c>
      <c r="K8" s="34"/>
      <c r="L8" s="34"/>
      <c r="M8" s="34"/>
      <c r="N8" s="34">
        <f>C30*'E Balans VL '!Y18/100/3.6*1000000</f>
        <v>2.8061129480859517</v>
      </c>
      <c r="O8" s="34"/>
      <c r="P8" s="34"/>
      <c r="R8" s="33"/>
    </row>
    <row r="9" spans="1:18">
      <c r="A9" s="6" t="s">
        <v>32</v>
      </c>
      <c r="B9" s="38">
        <f t="shared" si="0"/>
        <v>2557.8361390797099</v>
      </c>
      <c r="C9" s="34"/>
      <c r="D9" s="38">
        <f>IF( ISERROR(IND_andere_gas_kWh/1000),0,IND_andere_gas_kWh/1000)*0.902</f>
        <v>1402.268444425699</v>
      </c>
      <c r="E9" s="34">
        <f>C31*'E Balans VL '!I19/100/3.6*1000000</f>
        <v>14.784675120875747</v>
      </c>
      <c r="F9" s="34">
        <f>C31*'E Balans VL '!L19/100/3.6*1000000+C31*'E Balans VL '!N19/100/3.6*1000000</f>
        <v>2034.8817268425382</v>
      </c>
      <c r="G9" s="35"/>
      <c r="H9" s="34"/>
      <c r="I9" s="34"/>
      <c r="J9" s="41">
        <f>C31*'E Balans VL '!D19/100/3.6*1000000+C31*'E Balans VL '!E19/100/3.6*1000000</f>
        <v>0.24194288711783318</v>
      </c>
      <c r="K9" s="34"/>
      <c r="L9" s="34"/>
      <c r="M9" s="34"/>
      <c r="N9" s="34">
        <f>C31*'E Balans VL '!Y19/100/3.6*1000000</f>
        <v>193.79479605547712</v>
      </c>
      <c r="O9" s="34"/>
      <c r="P9" s="34"/>
      <c r="R9" s="33"/>
    </row>
    <row r="10" spans="1:18">
      <c r="A10" s="6" t="s">
        <v>40</v>
      </c>
      <c r="B10" s="38">
        <f t="shared" si="0"/>
        <v>1149.6157512438699</v>
      </c>
      <c r="C10" s="34"/>
      <c r="D10" s="38">
        <f>IF( ISERROR(IND_voed_gas_kWh/1000),0,IND_voed_gas_kWh/1000)*0.902</f>
        <v>847.36715386411061</v>
      </c>
      <c r="E10" s="34">
        <f>C32*'E Balans VL '!I20/100/3.6*1000000</f>
        <v>11.303730403486268</v>
      </c>
      <c r="F10" s="34">
        <f>C32*'E Balans VL '!L20/100/3.6*1000000+C32*'E Balans VL '!N20/100/3.6*1000000</f>
        <v>127.67983470121972</v>
      </c>
      <c r="G10" s="35"/>
      <c r="H10" s="34"/>
      <c r="I10" s="34"/>
      <c r="J10" s="41">
        <f>C32*'E Balans VL '!D20/100/3.6*1000000+C32*'E Balans VL '!E20/100/3.6*1000000</f>
        <v>4.5311575697995826E-3</v>
      </c>
      <c r="K10" s="34"/>
      <c r="L10" s="34"/>
      <c r="M10" s="34"/>
      <c r="N10" s="34">
        <f>C32*'E Balans VL '!Y20/100/3.6*1000000</f>
        <v>17.023105094633184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69.594069815286403</v>
      </c>
      <c r="C12" s="34"/>
      <c r="D12" s="38">
        <f>IF( ISERROR(IND_min_gas_kWh/1000),0,IND_min_gas_kWh/1000)*0.902</f>
        <v>0</v>
      </c>
      <c r="E12" s="34">
        <f>C34*'E Balans VL '!I22/100/3.6*1000000</f>
        <v>1.7643335121221959</v>
      </c>
      <c r="F12" s="34">
        <f>C34*'E Balans VL '!L22/100/3.6*1000000+C34*'E Balans VL '!N22/100/3.6*1000000</f>
        <v>19.256921694302815</v>
      </c>
      <c r="G12" s="35"/>
      <c r="H12" s="34"/>
      <c r="I12" s="34"/>
      <c r="J12" s="41">
        <f>C34*'E Balans VL '!D22/100/3.6*1000000+C34*'E Balans VL '!E22/100/3.6*1000000</f>
        <v>0.45961322205305244</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2698.3619640779298</v>
      </c>
      <c r="C15" s="34"/>
      <c r="D15" s="38">
        <f>IF( ISERROR(IND_rest_gas_kWh/1000),0,IND_rest_gas_kWh/1000)*0.902</f>
        <v>5416.7969815169627</v>
      </c>
      <c r="E15" s="34">
        <f>C37*'E Balans VL '!I15/100/3.6*1000000</f>
        <v>24.246646669001009</v>
      </c>
      <c r="F15" s="34">
        <f>C37*'E Balans VL '!L15/100/3.6*1000000+C37*'E Balans VL '!N15/100/3.6*1000000</f>
        <v>531.36270738508256</v>
      </c>
      <c r="G15" s="35"/>
      <c r="H15" s="34"/>
      <c r="I15" s="34"/>
      <c r="J15" s="41">
        <f>C37*'E Balans VL '!D15/100/3.6*1000000+C37*'E Balans VL '!E15/100/3.6*1000000</f>
        <v>13.569442781823687</v>
      </c>
      <c r="K15" s="34"/>
      <c r="L15" s="34"/>
      <c r="M15" s="34"/>
      <c r="N15" s="34">
        <f>C37*'E Balans VL '!Y15/100/3.6*1000000</f>
        <v>82.83260356581161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7291.9448216670125</v>
      </c>
      <c r="C18" s="22">
        <f>C5+C16</f>
        <v>0</v>
      </c>
      <c r="D18" s="22">
        <f>MAX((D5+D16),0)</f>
        <v>7749.6978604903215</v>
      </c>
      <c r="E18" s="22">
        <f>MAX((E5+E16),0)</f>
        <v>59.535440080527579</v>
      </c>
      <c r="F18" s="22">
        <f>MAX((F5+F16),0)</f>
        <v>2820.8762065091241</v>
      </c>
      <c r="G18" s="22"/>
      <c r="H18" s="22"/>
      <c r="I18" s="22"/>
      <c r="J18" s="22">
        <f>MAX((J5+J16),0)</f>
        <v>27.665549597863894</v>
      </c>
      <c r="K18" s="22"/>
      <c r="L18" s="22">
        <f>MAX((L5+L16),0)</f>
        <v>0</v>
      </c>
      <c r="M18" s="22"/>
      <c r="N18" s="22">
        <f>MAX((N5+N16),0)</f>
        <v>296.45661766400787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0.20977966500307316</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1529.7017419101999</v>
      </c>
      <c r="C22" s="24">
        <f ca="1">C18*C20</f>
        <v>0</v>
      </c>
      <c r="D22" s="24">
        <f>D18*D20</f>
        <v>1565.438967819045</v>
      </c>
      <c r="E22" s="24">
        <f>E18*E20</f>
        <v>13.514544898279761</v>
      </c>
      <c r="F22" s="24">
        <f>F18*F20</f>
        <v>753.17394713793624</v>
      </c>
      <c r="G22" s="24"/>
      <c r="H22" s="24"/>
      <c r="I22" s="24"/>
      <c r="J22" s="24">
        <f>J18*J20</f>
        <v>9.7936045576438175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816.536897450217</v>
      </c>
      <c r="C30" s="40">
        <f>IF(ISERROR(B30*3.6/1000000/'E Balans VL '!Z18*100),0,B30*3.6/1000000/'E Balans VL '!Z18*100)</f>
        <v>4.5434818207717866E-2</v>
      </c>
      <c r="D30" s="236" t="s">
        <v>660</v>
      </c>
    </row>
    <row r="31" spans="1:18">
      <c r="A31" s="6" t="s">
        <v>32</v>
      </c>
      <c r="B31" s="38">
        <f>IF( ISERROR(IND_ander_ele_kWh/1000),0,IND_ander_ele_kWh/1000)</f>
        <v>2557.8361390797099</v>
      </c>
      <c r="C31" s="40">
        <f>IF(ISERROR(B31*3.6/1000000/'E Balans VL '!Z19*100),0,B31*3.6/1000000/'E Balans VL '!Z19*100)</f>
        <v>0.11890708445381563</v>
      </c>
      <c r="D31" s="236" t="s">
        <v>660</v>
      </c>
    </row>
    <row r="32" spans="1:18">
      <c r="A32" s="171" t="s">
        <v>40</v>
      </c>
      <c r="B32" s="38">
        <f>IF( ISERROR(IND_voed_ele_kWh/1000),0,IND_voed_ele_kWh/1000)</f>
        <v>1149.6157512438699</v>
      </c>
      <c r="C32" s="40">
        <f>IF(ISERROR(B32*3.6/1000000/'E Balans VL '!Z20*100),0,B32*3.6/1000000/'E Balans VL '!Z20*100)</f>
        <v>4.0636595059134153E-2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69.594069815286403</v>
      </c>
      <c r="C34" s="40">
        <f>IF(ISERROR(B34*3.6/1000000/'E Balans VL '!Z22*100),0,B34*3.6/1000000/'E Balans VL '!Z22*100)</f>
        <v>1.3986445546404616E-2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2698.3619640779298</v>
      </c>
      <c r="C37" s="40">
        <f>IF(ISERROR(B37*3.6/1000000/'E Balans VL '!Z15*100),0,B37*3.6/1000000/'E Balans VL '!Z15*100)</f>
        <v>2.037661891216478E-2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1328.3341046193868</v>
      </c>
      <c r="C5" s="18">
        <f>'Eigen informatie GS &amp; warmtenet'!B60</f>
        <v>0</v>
      </c>
      <c r="D5" s="31">
        <f>IF(ISERROR(SUM(LB_lb_gas_kWh,LB_rest_gas_kWh)/1000),0,SUM(LB_lb_gas_kWh,LB_rest_gas_kWh)/1000)*0.902</f>
        <v>394.58644852843304</v>
      </c>
      <c r="E5" s="18">
        <f>B17*'E Balans VL '!I25/3.6*1000000/100</f>
        <v>13.117541051089852</v>
      </c>
      <c r="F5" s="18">
        <f>B17*('E Balans VL '!L25/3.6*1000000+'E Balans VL '!N25/3.6*1000000)/100</f>
        <v>4431.674047516588</v>
      </c>
      <c r="G5" s="19"/>
      <c r="H5" s="18"/>
      <c r="I5" s="18"/>
      <c r="J5" s="18">
        <f>('E Balans VL '!D25+'E Balans VL '!E25)/3.6*1000000*landbouw!B17/100</f>
        <v>132.52742584034425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1328.3341046193868</v>
      </c>
      <c r="C8" s="22">
        <f>C5+C6</f>
        <v>0</v>
      </c>
      <c r="D8" s="22">
        <f>MAX((D5+D6),0)</f>
        <v>394.58644852843304</v>
      </c>
      <c r="E8" s="22">
        <f>MAX((E5+E6),0)</f>
        <v>13.117541051089852</v>
      </c>
      <c r="F8" s="22">
        <f>MAX((F5+F6),0)</f>
        <v>4431.674047516588</v>
      </c>
      <c r="G8" s="22"/>
      <c r="H8" s="22"/>
      <c r="I8" s="22"/>
      <c r="J8" s="22">
        <f>MAX((J5+J6),0)</f>
        <v>132.52742584034425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0.20977966500307316</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278.65748347921209</v>
      </c>
      <c r="C12" s="24">
        <f ca="1">C8*C10</f>
        <v>0</v>
      </c>
      <c r="D12" s="24">
        <f>D8*D10</f>
        <v>79.706462602743485</v>
      </c>
      <c r="E12" s="24">
        <f>E8*E10</f>
        <v>2.9776818185973966</v>
      </c>
      <c r="F12" s="24">
        <f>F8*F10</f>
        <v>1183.256970686929</v>
      </c>
      <c r="G12" s="24"/>
      <c r="H12" s="24"/>
      <c r="I12" s="24"/>
      <c r="J12" s="24">
        <f>J8*J10</f>
        <v>46.91470874748186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0.17983521166500724</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473.11181934476747</v>
      </c>
      <c r="C26" s="246">
        <f>B26*'GWP N2O_CH4'!B5</f>
        <v>9935.3482062401163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90.658858841023346</v>
      </c>
      <c r="C27" s="246">
        <f>B27*'GWP N2O_CH4'!B5</f>
        <v>1903.8360356614903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7.1470380226974202</v>
      </c>
      <c r="C28" s="246">
        <f>B28*'GWP N2O_CH4'!B4</f>
        <v>2215.5817870362002</v>
      </c>
      <c r="D28" s="51"/>
    </row>
    <row r="29" spans="1:4">
      <c r="A29" s="42" t="s">
        <v>266</v>
      </c>
      <c r="B29" s="246">
        <f>B34*'ha_N2O bodem landbouw'!B4</f>
        <v>22.921856333807778</v>
      </c>
      <c r="C29" s="246">
        <f>B29*'GWP N2O_CH4'!B4</f>
        <v>7105.7754634804114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6.1881796239742822E-3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2.2804775959049653E-5</v>
      </c>
      <c r="C5" s="433" t="s">
        <v>204</v>
      </c>
      <c r="D5" s="418">
        <f>SUM(D6:D11)</f>
        <v>3.0972170934134185E-5</v>
      </c>
      <c r="E5" s="418">
        <f>SUM(E6:E11)</f>
        <v>1.9549247919613982E-3</v>
      </c>
      <c r="F5" s="431" t="s">
        <v>204</v>
      </c>
      <c r="G5" s="418">
        <f>SUM(G6:G11)</f>
        <v>0.43095289399191405</v>
      </c>
      <c r="H5" s="418">
        <f>SUM(H6:H11)</f>
        <v>7.8187877530310701E-2</v>
      </c>
      <c r="I5" s="433" t="s">
        <v>204</v>
      </c>
      <c r="J5" s="433" t="s">
        <v>204</v>
      </c>
      <c r="K5" s="433" t="s">
        <v>204</v>
      </c>
      <c r="L5" s="433" t="s">
        <v>204</v>
      </c>
      <c r="M5" s="418">
        <f>SUM(M6:M11)</f>
        <v>2.2756966908603148E-2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1.4629186458804998E-5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1.6967194934480354E-5</v>
      </c>
      <c r="E6" s="421">
        <f>vkm_GW_PW*SUMIFS(TableVerdeelsleutelVkm[LPG],TableVerdeelsleutelVkm[Voertuigtype],"Lichte voertuigen")*SUMIFS(TableECFTransport[EnergieConsumptieFactor (PJ per km)],TableECFTransport[Index],CONCATENATE($A6,"_LPG_LPG"))</f>
        <v>1.0982241724512578E-3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0.17315892161048269</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4.3785535712283802E-2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9.7104484120972261E-3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6.9678941204968279E-7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0.11526354999088968</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3.5921848005381641E-6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5.1288748326299028E-3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7.4089876853423671E-6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1.4004975999653828E-5</v>
      </c>
      <c r="E8" s="421">
        <f>vkm_NGW_PW*SUMIFS(TableVerdeelsleutelVkm[LPG],TableVerdeelsleutelVkm[Voertuigtype],"Lichte voertuigen")*SUMIFS(TableECFTransport[EnergieConsumptieFactor (PJ per km)],TableECFTransport[Index],CONCATENATE($A8,"_LPG_LPG"))</f>
        <v>8.5670061951014051E-4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0.1277213430682147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3.4398315216878195E-2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7.2586862474920662E-3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6.9812402852603055E-8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1.4809079322326998E-2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4.3441634817373269E-7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6.5895741638395179E-4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6.334659988624904</v>
      </c>
      <c r="C14" s="22"/>
      <c r="D14" s="22">
        <f t="shared" ref="D14:M14" si="0">((D5)*10^9/3600)+D12</f>
        <v>8.6033808150372728</v>
      </c>
      <c r="E14" s="22">
        <f t="shared" si="0"/>
        <v>543.03466443372167</v>
      </c>
      <c r="F14" s="22"/>
      <c r="G14" s="22">
        <f t="shared" si="0"/>
        <v>119709.13721997612</v>
      </c>
      <c r="H14" s="22">
        <f t="shared" si="0"/>
        <v>21718.854869530751</v>
      </c>
      <c r="I14" s="22"/>
      <c r="J14" s="22"/>
      <c r="K14" s="22"/>
      <c r="L14" s="22"/>
      <c r="M14" s="22">
        <f t="shared" si="0"/>
        <v>6321.3796968342076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0.20977966500307316</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1.3288828503221035</v>
      </c>
      <c r="C18" s="24"/>
      <c r="D18" s="24">
        <f t="shared" ref="D18:M18" si="1">D14*D16</f>
        <v>1.7378829246375291</v>
      </c>
      <c r="E18" s="24">
        <f t="shared" si="1"/>
        <v>123.26886882645482</v>
      </c>
      <c r="F18" s="24"/>
      <c r="G18" s="24">
        <f t="shared" si="1"/>
        <v>31962.339637733628</v>
      </c>
      <c r="H18" s="24">
        <f t="shared" si="1"/>
        <v>5407.9948625131574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3.7144105139237562E-5</v>
      </c>
      <c r="C50" s="316">
        <f t="shared" ref="C50:P50" si="2">SUM(C51:C52)</f>
        <v>0</v>
      </c>
      <c r="D50" s="316">
        <f t="shared" si="2"/>
        <v>0</v>
      </c>
      <c r="E50" s="316">
        <f t="shared" si="2"/>
        <v>0</v>
      </c>
      <c r="F50" s="316">
        <f t="shared" si="2"/>
        <v>0</v>
      </c>
      <c r="G50" s="316">
        <f t="shared" si="2"/>
        <v>7.4084652072507404E-3</v>
      </c>
      <c r="H50" s="316">
        <f t="shared" si="2"/>
        <v>0</v>
      </c>
      <c r="I50" s="316">
        <f t="shared" si="2"/>
        <v>0</v>
      </c>
      <c r="J50" s="316">
        <f t="shared" si="2"/>
        <v>0</v>
      </c>
      <c r="K50" s="316">
        <f t="shared" si="2"/>
        <v>0</v>
      </c>
      <c r="L50" s="316">
        <f t="shared" si="2"/>
        <v>0</v>
      </c>
      <c r="M50" s="316">
        <f t="shared" si="2"/>
        <v>3.2744627182702482E-4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3.7144105139237562E-5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7.4084652072507404E-3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3.2744627182702482E-4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10.317806983121544</v>
      </c>
      <c r="C54" s="22">
        <f t="shared" ref="C54:P54" si="3">(C50)*10^9/3600</f>
        <v>0</v>
      </c>
      <c r="D54" s="22">
        <f t="shared" si="3"/>
        <v>0</v>
      </c>
      <c r="E54" s="22">
        <f t="shared" si="3"/>
        <v>0</v>
      </c>
      <c r="F54" s="22">
        <f t="shared" si="3"/>
        <v>0</v>
      </c>
      <c r="G54" s="22">
        <f t="shared" si="3"/>
        <v>2057.9070020140944</v>
      </c>
      <c r="H54" s="22">
        <f t="shared" si="3"/>
        <v>0</v>
      </c>
      <c r="I54" s="22">
        <f t="shared" si="3"/>
        <v>0</v>
      </c>
      <c r="J54" s="22">
        <f t="shared" si="3"/>
        <v>0</v>
      </c>
      <c r="K54" s="22">
        <f t="shared" si="3"/>
        <v>0</v>
      </c>
      <c r="L54" s="22">
        <f t="shared" si="3"/>
        <v>0</v>
      </c>
      <c r="M54" s="22">
        <f t="shared" si="3"/>
        <v>90.95729772972912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0.20977966500307316</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2.1644660924856063</v>
      </c>
      <c r="C58" s="24">
        <f t="shared" ref="C58:P58" ca="1" si="4">C54*C56</f>
        <v>0</v>
      </c>
      <c r="D58" s="24">
        <f t="shared" si="4"/>
        <v>0</v>
      </c>
      <c r="E58" s="24">
        <f t="shared" si="4"/>
        <v>0</v>
      </c>
      <c r="F58" s="24">
        <f t="shared" si="4"/>
        <v>0</v>
      </c>
      <c r="G58" s="24">
        <f t="shared" si="4"/>
        <v>549.46116953776323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5585.0686501716245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5585.0686501716245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37850.649394242799</v>
      </c>
      <c r="D10" s="639">
        <f ca="1">tertiair!C16</f>
        <v>0</v>
      </c>
      <c r="E10" s="639">
        <f ca="1">tertiair!D16</f>
        <v>41157.92748983299</v>
      </c>
      <c r="F10" s="639">
        <f>tertiair!E16</f>
        <v>346.51098550955982</v>
      </c>
      <c r="G10" s="639">
        <f ca="1">tertiair!F16</f>
        <v>7339.1664789792321</v>
      </c>
      <c r="H10" s="639">
        <f>tertiair!G16</f>
        <v>0</v>
      </c>
      <c r="I10" s="639">
        <f>tertiair!H16</f>
        <v>0</v>
      </c>
      <c r="J10" s="639">
        <f>tertiair!I16</f>
        <v>0</v>
      </c>
      <c r="K10" s="639">
        <f>tertiair!J16</f>
        <v>0</v>
      </c>
      <c r="L10" s="639">
        <f>tertiair!K16</f>
        <v>0</v>
      </c>
      <c r="M10" s="639">
        <f ca="1">tertiair!L16</f>
        <v>0</v>
      </c>
      <c r="N10" s="639">
        <f>tertiair!M16</f>
        <v>0</v>
      </c>
      <c r="O10" s="639">
        <f ca="1">tertiair!N16</f>
        <v>2580.8489604042047</v>
      </c>
      <c r="P10" s="639">
        <f>tertiair!O16</f>
        <v>1.5633333333333335</v>
      </c>
      <c r="Q10" s="640">
        <f>tertiair!P16</f>
        <v>0</v>
      </c>
      <c r="R10" s="642">
        <f ca="1">SUM(C10:Q10)</f>
        <v>89276.666642302138</v>
      </c>
      <c r="S10" s="68"/>
    </row>
    <row r="11" spans="1:19" s="443" customFormat="1">
      <c r="A11" s="753" t="s">
        <v>214</v>
      </c>
      <c r="B11" s="758"/>
      <c r="C11" s="639">
        <f>huishoudens!B8</f>
        <v>61438.544633281992</v>
      </c>
      <c r="D11" s="639">
        <f>huishoudens!C8</f>
        <v>0</v>
      </c>
      <c r="E11" s="639">
        <f>huishoudens!D8</f>
        <v>114728.79466493755</v>
      </c>
      <c r="F11" s="639">
        <f>huishoudens!E8</f>
        <v>3437.4556626599865</v>
      </c>
      <c r="G11" s="639">
        <f>huishoudens!F8</f>
        <v>104798.04320370301</v>
      </c>
      <c r="H11" s="639">
        <f>huishoudens!G8</f>
        <v>0</v>
      </c>
      <c r="I11" s="639">
        <f>huishoudens!H8</f>
        <v>0</v>
      </c>
      <c r="J11" s="639">
        <f>huishoudens!I8</f>
        <v>0</v>
      </c>
      <c r="K11" s="639">
        <f>huishoudens!J8</f>
        <v>1901.5239774896302</v>
      </c>
      <c r="L11" s="639">
        <f>huishoudens!K8</f>
        <v>0</v>
      </c>
      <c r="M11" s="639">
        <f>huishoudens!L8</f>
        <v>0</v>
      </c>
      <c r="N11" s="639">
        <f>huishoudens!M8</f>
        <v>0</v>
      </c>
      <c r="O11" s="639">
        <f>huishoudens!N8</f>
        <v>20315.637810298176</v>
      </c>
      <c r="P11" s="639">
        <f>huishoudens!O8</f>
        <v>100.05333333333334</v>
      </c>
      <c r="Q11" s="640">
        <f>huishoudens!P8</f>
        <v>495.73333333333335</v>
      </c>
      <c r="R11" s="642">
        <f>SUM(C11:Q11)</f>
        <v>307215.78661903698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7291.9448216670125</v>
      </c>
      <c r="D13" s="639">
        <f>industrie!C18</f>
        <v>0</v>
      </c>
      <c r="E13" s="639">
        <f>industrie!D18</f>
        <v>7749.6978604903215</v>
      </c>
      <c r="F13" s="639">
        <f>industrie!E18</f>
        <v>59.535440080527579</v>
      </c>
      <c r="G13" s="639">
        <f>industrie!F18</f>
        <v>2820.8762065091241</v>
      </c>
      <c r="H13" s="639">
        <f>industrie!G18</f>
        <v>0</v>
      </c>
      <c r="I13" s="639">
        <f>industrie!H18</f>
        <v>0</v>
      </c>
      <c r="J13" s="639">
        <f>industrie!I18</f>
        <v>0</v>
      </c>
      <c r="K13" s="639">
        <f>industrie!J18</f>
        <v>27.665549597863894</v>
      </c>
      <c r="L13" s="639">
        <f>industrie!K18</f>
        <v>0</v>
      </c>
      <c r="M13" s="639">
        <f>industrie!L18</f>
        <v>0</v>
      </c>
      <c r="N13" s="639">
        <f>industrie!M18</f>
        <v>0</v>
      </c>
      <c r="O13" s="639">
        <f>industrie!N18</f>
        <v>296.45661766400787</v>
      </c>
      <c r="P13" s="639">
        <f>industrie!O18</f>
        <v>0</v>
      </c>
      <c r="Q13" s="640">
        <f>industrie!P18</f>
        <v>0</v>
      </c>
      <c r="R13" s="642">
        <f>SUM(C13:Q13)</f>
        <v>18246.176496008855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106581.1388491918</v>
      </c>
      <c r="D16" s="672">
        <f t="shared" ref="D16:R16" ca="1" si="0">SUM(D9:D15)</f>
        <v>0</v>
      </c>
      <c r="E16" s="672">
        <f t="shared" ca="1" si="0"/>
        <v>163636.42001526087</v>
      </c>
      <c r="F16" s="672">
        <f t="shared" si="0"/>
        <v>3843.5020882500739</v>
      </c>
      <c r="G16" s="672">
        <f t="shared" ca="1" si="0"/>
        <v>114958.08588919137</v>
      </c>
      <c r="H16" s="672">
        <f t="shared" si="0"/>
        <v>0</v>
      </c>
      <c r="I16" s="672">
        <f t="shared" si="0"/>
        <v>0</v>
      </c>
      <c r="J16" s="672">
        <f t="shared" si="0"/>
        <v>0</v>
      </c>
      <c r="K16" s="672">
        <f t="shared" si="0"/>
        <v>1929.1895270874941</v>
      </c>
      <c r="L16" s="672">
        <f t="shared" si="0"/>
        <v>0</v>
      </c>
      <c r="M16" s="672">
        <f t="shared" ca="1" si="0"/>
        <v>0</v>
      </c>
      <c r="N16" s="672">
        <f t="shared" si="0"/>
        <v>0</v>
      </c>
      <c r="O16" s="672">
        <f t="shared" ca="1" si="0"/>
        <v>23192.943388366388</v>
      </c>
      <c r="P16" s="672">
        <f t="shared" si="0"/>
        <v>101.61666666666667</v>
      </c>
      <c r="Q16" s="672">
        <f t="shared" si="0"/>
        <v>495.73333333333335</v>
      </c>
      <c r="R16" s="672">
        <f t="shared" ca="1" si="0"/>
        <v>414738.62975734798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10.317806983121544</v>
      </c>
      <c r="D19" s="639">
        <f>transport!C54</f>
        <v>0</v>
      </c>
      <c r="E19" s="639">
        <f>transport!D54</f>
        <v>0</v>
      </c>
      <c r="F19" s="639">
        <f>transport!E54</f>
        <v>0</v>
      </c>
      <c r="G19" s="639">
        <f>transport!F54</f>
        <v>0</v>
      </c>
      <c r="H19" s="639">
        <f>transport!G54</f>
        <v>2057.9070020140944</v>
      </c>
      <c r="I19" s="639">
        <f>transport!H54</f>
        <v>0</v>
      </c>
      <c r="J19" s="639">
        <f>transport!I54</f>
        <v>0</v>
      </c>
      <c r="K19" s="639">
        <f>transport!J54</f>
        <v>0</v>
      </c>
      <c r="L19" s="639">
        <f>transport!K54</f>
        <v>0</v>
      </c>
      <c r="M19" s="639">
        <f>transport!L54</f>
        <v>0</v>
      </c>
      <c r="N19" s="639">
        <f>transport!M54</f>
        <v>90.95729772972912</v>
      </c>
      <c r="O19" s="639">
        <f>transport!N54</f>
        <v>0</v>
      </c>
      <c r="P19" s="639">
        <f>transport!O54</f>
        <v>0</v>
      </c>
      <c r="Q19" s="640">
        <f>transport!P54</f>
        <v>0</v>
      </c>
      <c r="R19" s="642">
        <f>SUM(C19:Q19)</f>
        <v>2159.1821067269448</v>
      </c>
      <c r="S19" s="68"/>
    </row>
    <row r="20" spans="1:19" s="443" customFormat="1">
      <c r="A20" s="753" t="s">
        <v>296</v>
      </c>
      <c r="B20" s="758"/>
      <c r="C20" s="639">
        <f>transport!B14</f>
        <v>6.334659988624904</v>
      </c>
      <c r="D20" s="639">
        <f>transport!C14</f>
        <v>0</v>
      </c>
      <c r="E20" s="639">
        <f>transport!D14</f>
        <v>8.6033808150372728</v>
      </c>
      <c r="F20" s="639">
        <f>transport!E14</f>
        <v>543.03466443372167</v>
      </c>
      <c r="G20" s="639">
        <f>transport!F14</f>
        <v>0</v>
      </c>
      <c r="H20" s="639">
        <f>transport!G14</f>
        <v>119709.13721997612</v>
      </c>
      <c r="I20" s="639">
        <f>transport!H14</f>
        <v>21718.854869530751</v>
      </c>
      <c r="J20" s="639">
        <f>transport!I14</f>
        <v>0</v>
      </c>
      <c r="K20" s="639">
        <f>transport!J14</f>
        <v>0</v>
      </c>
      <c r="L20" s="639">
        <f>transport!K14</f>
        <v>0</v>
      </c>
      <c r="M20" s="639">
        <f>transport!L14</f>
        <v>0</v>
      </c>
      <c r="N20" s="639">
        <f>transport!M14</f>
        <v>6321.3796968342076</v>
      </c>
      <c r="O20" s="639">
        <f>transport!N14</f>
        <v>0</v>
      </c>
      <c r="P20" s="639">
        <f>transport!O14</f>
        <v>0</v>
      </c>
      <c r="Q20" s="640">
        <f>transport!P14</f>
        <v>0</v>
      </c>
      <c r="R20" s="642">
        <f>SUM(C20:Q20)</f>
        <v>148307.34449157846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16.652466971746449</v>
      </c>
      <c r="D22" s="756">
        <f t="shared" ref="D22:R22" si="1">SUM(D18:D21)</f>
        <v>0</v>
      </c>
      <c r="E22" s="756">
        <f t="shared" si="1"/>
        <v>8.6033808150372728</v>
      </c>
      <c r="F22" s="756">
        <f t="shared" si="1"/>
        <v>543.03466443372167</v>
      </c>
      <c r="G22" s="756">
        <f t="shared" si="1"/>
        <v>0</v>
      </c>
      <c r="H22" s="756">
        <f t="shared" si="1"/>
        <v>121767.04422199022</v>
      </c>
      <c r="I22" s="756">
        <f t="shared" si="1"/>
        <v>21718.854869530751</v>
      </c>
      <c r="J22" s="756">
        <f t="shared" si="1"/>
        <v>0</v>
      </c>
      <c r="K22" s="756">
        <f t="shared" si="1"/>
        <v>0</v>
      </c>
      <c r="L22" s="756">
        <f t="shared" si="1"/>
        <v>0</v>
      </c>
      <c r="M22" s="756">
        <f t="shared" si="1"/>
        <v>0</v>
      </c>
      <c r="N22" s="756">
        <f t="shared" si="1"/>
        <v>6412.336994563937</v>
      </c>
      <c r="O22" s="756">
        <f t="shared" si="1"/>
        <v>0</v>
      </c>
      <c r="P22" s="756">
        <f t="shared" si="1"/>
        <v>0</v>
      </c>
      <c r="Q22" s="756">
        <f t="shared" si="1"/>
        <v>0</v>
      </c>
      <c r="R22" s="756">
        <f t="shared" si="1"/>
        <v>150466.52659830541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1328.3341046193868</v>
      </c>
      <c r="D24" s="639">
        <f>+landbouw!C8</f>
        <v>0</v>
      </c>
      <c r="E24" s="639">
        <f>+landbouw!D8</f>
        <v>394.58644852843304</v>
      </c>
      <c r="F24" s="639">
        <f>+landbouw!E8</f>
        <v>13.117541051089852</v>
      </c>
      <c r="G24" s="639">
        <f>+landbouw!F8</f>
        <v>4431.674047516588</v>
      </c>
      <c r="H24" s="639">
        <f>+landbouw!G8</f>
        <v>0</v>
      </c>
      <c r="I24" s="639">
        <f>+landbouw!H8</f>
        <v>0</v>
      </c>
      <c r="J24" s="639">
        <f>+landbouw!I8</f>
        <v>0</v>
      </c>
      <c r="K24" s="639">
        <f>+landbouw!J8</f>
        <v>132.52742584034425</v>
      </c>
      <c r="L24" s="639">
        <f>+landbouw!K8</f>
        <v>0</v>
      </c>
      <c r="M24" s="639">
        <f>+landbouw!L8</f>
        <v>0</v>
      </c>
      <c r="N24" s="639">
        <f>+landbouw!M8</f>
        <v>0</v>
      </c>
      <c r="O24" s="639">
        <f>+landbouw!N8</f>
        <v>0</v>
      </c>
      <c r="P24" s="639">
        <f>+landbouw!O8</f>
        <v>0</v>
      </c>
      <c r="Q24" s="640">
        <f>+landbouw!P8</f>
        <v>0</v>
      </c>
      <c r="R24" s="642">
        <f>SUM(C24:Q24)</f>
        <v>6300.2395675558419</v>
      </c>
      <c r="S24" s="68"/>
    </row>
    <row r="25" spans="1:19" s="443" customFormat="1" ht="15" thickBot="1">
      <c r="A25" s="775" t="s">
        <v>847</v>
      </c>
      <c r="B25" s="941"/>
      <c r="C25" s="942">
        <f>IF(Onbekend_ele_kWh="---",0,Onbekend_ele_kWh)/1000+IF(REST_rest_ele_kWh="---",0,REST_rest_ele_kWh)/1000</f>
        <v>2079.51808504772</v>
      </c>
      <c r="D25" s="942"/>
      <c r="E25" s="942">
        <f>IF(onbekend_gas_kWh="---",0,onbekend_gas_kWh)/1000+IF(REST_rest_gas_kWh="---",0,REST_rest_gas_kWh)/1000</f>
        <v>5241.5053404005494</v>
      </c>
      <c r="F25" s="942"/>
      <c r="G25" s="942"/>
      <c r="H25" s="942"/>
      <c r="I25" s="942"/>
      <c r="J25" s="942"/>
      <c r="K25" s="942"/>
      <c r="L25" s="942"/>
      <c r="M25" s="942"/>
      <c r="N25" s="942"/>
      <c r="O25" s="942"/>
      <c r="P25" s="942"/>
      <c r="Q25" s="943"/>
      <c r="R25" s="642">
        <f>SUM(C25:Q25)</f>
        <v>7321.0234254482693</v>
      </c>
      <c r="S25" s="68"/>
    </row>
    <row r="26" spans="1:19" s="443" customFormat="1" ht="15.75" thickBot="1">
      <c r="A26" s="645" t="s">
        <v>848</v>
      </c>
      <c r="B26" s="761"/>
      <c r="C26" s="756">
        <f>SUM(C24:C25)</f>
        <v>3407.8521896671068</v>
      </c>
      <c r="D26" s="756">
        <f t="shared" ref="D26:R26" si="2">SUM(D24:D25)</f>
        <v>0</v>
      </c>
      <c r="E26" s="756">
        <f t="shared" si="2"/>
        <v>5636.0917889289822</v>
      </c>
      <c r="F26" s="756">
        <f t="shared" si="2"/>
        <v>13.117541051089852</v>
      </c>
      <c r="G26" s="756">
        <f t="shared" si="2"/>
        <v>4431.674047516588</v>
      </c>
      <c r="H26" s="756">
        <f t="shared" si="2"/>
        <v>0</v>
      </c>
      <c r="I26" s="756">
        <f t="shared" si="2"/>
        <v>0</v>
      </c>
      <c r="J26" s="756">
        <f t="shared" si="2"/>
        <v>0</v>
      </c>
      <c r="K26" s="756">
        <f t="shared" si="2"/>
        <v>132.52742584034425</v>
      </c>
      <c r="L26" s="756">
        <f t="shared" si="2"/>
        <v>0</v>
      </c>
      <c r="M26" s="756">
        <f t="shared" si="2"/>
        <v>0</v>
      </c>
      <c r="N26" s="756">
        <f t="shared" si="2"/>
        <v>0</v>
      </c>
      <c r="O26" s="756">
        <f t="shared" si="2"/>
        <v>0</v>
      </c>
      <c r="P26" s="756">
        <f t="shared" si="2"/>
        <v>0</v>
      </c>
      <c r="Q26" s="756">
        <f t="shared" si="2"/>
        <v>0</v>
      </c>
      <c r="R26" s="756">
        <f t="shared" si="2"/>
        <v>13621.262993004111</v>
      </c>
      <c r="S26" s="68"/>
    </row>
    <row r="27" spans="1:19" s="443" customFormat="1" ht="17.25" thickTop="1" thickBot="1">
      <c r="A27" s="646" t="s">
        <v>109</v>
      </c>
      <c r="B27" s="748"/>
      <c r="C27" s="647">
        <f ca="1">C22+C16+C26</f>
        <v>110005.64350583065</v>
      </c>
      <c r="D27" s="647">
        <f t="shared" ref="D27:R27" ca="1" si="3">D22+D16+D26</f>
        <v>0</v>
      </c>
      <c r="E27" s="647">
        <f t="shared" ca="1" si="3"/>
        <v>169281.11518500489</v>
      </c>
      <c r="F27" s="647">
        <f t="shared" si="3"/>
        <v>4399.654293734885</v>
      </c>
      <c r="G27" s="647">
        <f t="shared" ca="1" si="3"/>
        <v>119389.75993670795</v>
      </c>
      <c r="H27" s="647">
        <f t="shared" si="3"/>
        <v>121767.04422199022</v>
      </c>
      <c r="I27" s="647">
        <f t="shared" si="3"/>
        <v>21718.854869530751</v>
      </c>
      <c r="J27" s="647">
        <f t="shared" si="3"/>
        <v>0</v>
      </c>
      <c r="K27" s="647">
        <f t="shared" si="3"/>
        <v>2061.7169529278385</v>
      </c>
      <c r="L27" s="647">
        <f t="shared" si="3"/>
        <v>0</v>
      </c>
      <c r="M27" s="647">
        <f t="shared" ca="1" si="3"/>
        <v>0</v>
      </c>
      <c r="N27" s="647">
        <f t="shared" si="3"/>
        <v>6412.336994563937</v>
      </c>
      <c r="O27" s="647">
        <f t="shared" ca="1" si="3"/>
        <v>23192.943388366388</v>
      </c>
      <c r="P27" s="647">
        <f t="shared" si="3"/>
        <v>101.61666666666667</v>
      </c>
      <c r="Q27" s="647">
        <f t="shared" si="3"/>
        <v>495.73333333333335</v>
      </c>
      <c r="R27" s="647">
        <f t="shared" ca="1" si="3"/>
        <v>578826.41934865748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7940.2965500730288</v>
      </c>
      <c r="D40" s="639">
        <f ca="1">tertiair!C20</f>
        <v>0</v>
      </c>
      <c r="E40" s="639">
        <f ca="1">tertiair!D20</f>
        <v>8313.9013529462645</v>
      </c>
      <c r="F40" s="639">
        <f>tertiair!E20</f>
        <v>78.657993710670084</v>
      </c>
      <c r="G40" s="639">
        <f ca="1">tertiair!F20</f>
        <v>1959.557449887455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18292.413346617417</v>
      </c>
    </row>
    <row r="41" spans="1:18">
      <c r="A41" s="766" t="s">
        <v>214</v>
      </c>
      <c r="B41" s="773"/>
      <c r="C41" s="639">
        <f ca="1">huishoudens!B12</f>
        <v>12888.557311446255</v>
      </c>
      <c r="D41" s="639">
        <f ca="1">huishoudens!C12</f>
        <v>0</v>
      </c>
      <c r="E41" s="639">
        <f>huishoudens!D12</f>
        <v>23175.216522317387</v>
      </c>
      <c r="F41" s="639">
        <f>huishoudens!E12</f>
        <v>780.30243542381697</v>
      </c>
      <c r="G41" s="639">
        <f>huishoudens!F12</f>
        <v>27981.077535388704</v>
      </c>
      <c r="H41" s="639">
        <f>huishoudens!G12</f>
        <v>0</v>
      </c>
      <c r="I41" s="639">
        <f>huishoudens!H12</f>
        <v>0</v>
      </c>
      <c r="J41" s="639">
        <f>huishoudens!I12</f>
        <v>0</v>
      </c>
      <c r="K41" s="639">
        <f>huishoudens!J12</f>
        <v>673.13948803132905</v>
      </c>
      <c r="L41" s="639">
        <f>huishoudens!K12</f>
        <v>0</v>
      </c>
      <c r="M41" s="639">
        <f>huishoudens!L12</f>
        <v>0</v>
      </c>
      <c r="N41" s="639">
        <f>huishoudens!M12</f>
        <v>0</v>
      </c>
      <c r="O41" s="639">
        <f>huishoudens!N12</f>
        <v>0</v>
      </c>
      <c r="P41" s="639">
        <f>huishoudens!O12</f>
        <v>0</v>
      </c>
      <c r="Q41" s="714">
        <f>huishoudens!P12</f>
        <v>0</v>
      </c>
      <c r="R41" s="794">
        <f t="shared" ca="1" si="4"/>
        <v>65498.293292607486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1529.7017419101999</v>
      </c>
      <c r="D43" s="639">
        <f ca="1">industrie!C22</f>
        <v>0</v>
      </c>
      <c r="E43" s="639">
        <f>industrie!D22</f>
        <v>1565.438967819045</v>
      </c>
      <c r="F43" s="639">
        <f>industrie!E22</f>
        <v>13.514544898279761</v>
      </c>
      <c r="G43" s="639">
        <f>industrie!F22</f>
        <v>753.17394713793624</v>
      </c>
      <c r="H43" s="639">
        <f>industrie!G22</f>
        <v>0</v>
      </c>
      <c r="I43" s="639">
        <f>industrie!H22</f>
        <v>0</v>
      </c>
      <c r="J43" s="639">
        <f>industrie!I22</f>
        <v>0</v>
      </c>
      <c r="K43" s="639">
        <f>industrie!J22</f>
        <v>9.7936045576438175</v>
      </c>
      <c r="L43" s="639">
        <f>industrie!K22</f>
        <v>0</v>
      </c>
      <c r="M43" s="639">
        <f>industrie!L22</f>
        <v>0</v>
      </c>
      <c r="N43" s="639">
        <f>industrie!M22</f>
        <v>0</v>
      </c>
      <c r="O43" s="639">
        <f>industrie!N22</f>
        <v>0</v>
      </c>
      <c r="P43" s="639">
        <f>industrie!O22</f>
        <v>0</v>
      </c>
      <c r="Q43" s="714">
        <f>industrie!P22</f>
        <v>0</v>
      </c>
      <c r="R43" s="793">
        <f t="shared" ca="1" si="4"/>
        <v>3871.6228063231051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22358.555603429486</v>
      </c>
      <c r="D46" s="672">
        <f t="shared" ref="D46:Q46" ca="1" si="5">SUM(D39:D45)</f>
        <v>0</v>
      </c>
      <c r="E46" s="672">
        <f t="shared" ca="1" si="5"/>
        <v>33054.556843082697</v>
      </c>
      <c r="F46" s="672">
        <f t="shared" si="5"/>
        <v>872.4749740327668</v>
      </c>
      <c r="G46" s="672">
        <f t="shared" ca="1" si="5"/>
        <v>30693.808932414096</v>
      </c>
      <c r="H46" s="672">
        <f t="shared" si="5"/>
        <v>0</v>
      </c>
      <c r="I46" s="672">
        <f t="shared" si="5"/>
        <v>0</v>
      </c>
      <c r="J46" s="672">
        <f t="shared" si="5"/>
        <v>0</v>
      </c>
      <c r="K46" s="672">
        <f t="shared" si="5"/>
        <v>682.93309258897284</v>
      </c>
      <c r="L46" s="672">
        <f t="shared" si="5"/>
        <v>0</v>
      </c>
      <c r="M46" s="672">
        <f t="shared" ca="1" si="5"/>
        <v>0</v>
      </c>
      <c r="N46" s="672">
        <f t="shared" si="5"/>
        <v>0</v>
      </c>
      <c r="O46" s="672">
        <f t="shared" ca="1" si="5"/>
        <v>0</v>
      </c>
      <c r="P46" s="672">
        <f t="shared" si="5"/>
        <v>0</v>
      </c>
      <c r="Q46" s="672">
        <f t="shared" si="5"/>
        <v>0</v>
      </c>
      <c r="R46" s="672">
        <f ca="1">SUM(R39:R45)</f>
        <v>87662.329445548006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2.1644660924856063</v>
      </c>
      <c r="D49" s="639">
        <f ca="1">transport!C58</f>
        <v>0</v>
      </c>
      <c r="E49" s="639">
        <f>transport!D58</f>
        <v>0</v>
      </c>
      <c r="F49" s="639">
        <f>transport!E58</f>
        <v>0</v>
      </c>
      <c r="G49" s="639">
        <f>transport!F58</f>
        <v>0</v>
      </c>
      <c r="H49" s="639">
        <f>transport!G58</f>
        <v>549.46116953776323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551.62563563024878</v>
      </c>
    </row>
    <row r="50" spans="1:18">
      <c r="A50" s="769" t="s">
        <v>296</v>
      </c>
      <c r="B50" s="779"/>
      <c r="C50" s="948">
        <f ca="1">transport!B18</f>
        <v>1.3288828503221035</v>
      </c>
      <c r="D50" s="948">
        <f>transport!C18</f>
        <v>0</v>
      </c>
      <c r="E50" s="948">
        <f>transport!D18</f>
        <v>1.7378829246375291</v>
      </c>
      <c r="F50" s="948">
        <f>transport!E18</f>
        <v>123.26886882645482</v>
      </c>
      <c r="G50" s="948">
        <f>transport!F18</f>
        <v>0</v>
      </c>
      <c r="H50" s="948">
        <f>transport!G18</f>
        <v>31962.339637733628</v>
      </c>
      <c r="I50" s="948">
        <f>transport!H18</f>
        <v>5407.9948625131574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37496.670134848202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3.4933489428077098</v>
      </c>
      <c r="D52" s="672">
        <f t="shared" ref="D52:Q52" ca="1" si="6">SUM(D48:D51)</f>
        <v>0</v>
      </c>
      <c r="E52" s="672">
        <f t="shared" si="6"/>
        <v>1.7378829246375291</v>
      </c>
      <c r="F52" s="672">
        <f t="shared" si="6"/>
        <v>123.26886882645482</v>
      </c>
      <c r="G52" s="672">
        <f t="shared" si="6"/>
        <v>0</v>
      </c>
      <c r="H52" s="672">
        <f t="shared" si="6"/>
        <v>32511.800807271393</v>
      </c>
      <c r="I52" s="672">
        <f t="shared" si="6"/>
        <v>5407.9948625131574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38048.295770478449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278.65748347921209</v>
      </c>
      <c r="D54" s="948">
        <f ca="1">+landbouw!C12</f>
        <v>0</v>
      </c>
      <c r="E54" s="948">
        <f>+landbouw!D12</f>
        <v>79.706462602743485</v>
      </c>
      <c r="F54" s="948">
        <f>+landbouw!E12</f>
        <v>2.9776818185973966</v>
      </c>
      <c r="G54" s="948">
        <f>+landbouw!F12</f>
        <v>1183.256970686929</v>
      </c>
      <c r="H54" s="948">
        <f>+landbouw!G12</f>
        <v>0</v>
      </c>
      <c r="I54" s="948">
        <f>+landbouw!H12</f>
        <v>0</v>
      </c>
      <c r="J54" s="948">
        <f>+landbouw!I12</f>
        <v>0</v>
      </c>
      <c r="K54" s="948">
        <f>+landbouw!J12</f>
        <v>46.91470874748186</v>
      </c>
      <c r="L54" s="948">
        <f>+landbouw!K12</f>
        <v>0</v>
      </c>
      <c r="M54" s="948">
        <f>+landbouw!L12</f>
        <v>0</v>
      </c>
      <c r="N54" s="948">
        <f>+landbouw!M12</f>
        <v>0</v>
      </c>
      <c r="O54" s="948">
        <f>+landbouw!N12</f>
        <v>0</v>
      </c>
      <c r="P54" s="948">
        <f>+landbouw!O12</f>
        <v>0</v>
      </c>
      <c r="Q54" s="949">
        <f>+landbouw!P12</f>
        <v>0</v>
      </c>
      <c r="R54" s="671">
        <f ca="1">SUM(C54:Q54)</f>
        <v>1591.5133073349639</v>
      </c>
    </row>
    <row r="55" spans="1:18" ht="15" thickBot="1">
      <c r="A55" s="769" t="s">
        <v>847</v>
      </c>
      <c r="B55" s="779"/>
      <c r="C55" s="948">
        <f ca="1">C25*'EF ele_warmte'!B12</f>
        <v>436.2406072491429</v>
      </c>
      <c r="D55" s="948"/>
      <c r="E55" s="948">
        <f>E25*EF_CO2_aardgas</f>
        <v>1058.7840787609111</v>
      </c>
      <c r="F55" s="948"/>
      <c r="G55" s="948"/>
      <c r="H55" s="948"/>
      <c r="I55" s="948"/>
      <c r="J55" s="948"/>
      <c r="K55" s="948"/>
      <c r="L55" s="948"/>
      <c r="M55" s="948"/>
      <c r="N55" s="948"/>
      <c r="O55" s="948"/>
      <c r="P55" s="948"/>
      <c r="Q55" s="949"/>
      <c r="R55" s="671">
        <f ca="1">SUM(C55:Q55)</f>
        <v>1495.024686010054</v>
      </c>
    </row>
    <row r="56" spans="1:18" ht="15.75" thickBot="1">
      <c r="A56" s="767" t="s">
        <v>848</v>
      </c>
      <c r="B56" s="780"/>
      <c r="C56" s="672">
        <f ca="1">SUM(C54:C55)</f>
        <v>714.89809072835499</v>
      </c>
      <c r="D56" s="672">
        <f t="shared" ref="D56:Q56" ca="1" si="7">SUM(D54:D55)</f>
        <v>0</v>
      </c>
      <c r="E56" s="672">
        <f t="shared" si="7"/>
        <v>1138.4905413636545</v>
      </c>
      <c r="F56" s="672">
        <f t="shared" si="7"/>
        <v>2.9776818185973966</v>
      </c>
      <c r="G56" s="672">
        <f t="shared" si="7"/>
        <v>1183.256970686929</v>
      </c>
      <c r="H56" s="672">
        <f t="shared" si="7"/>
        <v>0</v>
      </c>
      <c r="I56" s="672">
        <f t="shared" si="7"/>
        <v>0</v>
      </c>
      <c r="J56" s="672">
        <f t="shared" si="7"/>
        <v>0</v>
      </c>
      <c r="K56" s="672">
        <f t="shared" si="7"/>
        <v>46.91470874748186</v>
      </c>
      <c r="L56" s="672">
        <f t="shared" si="7"/>
        <v>0</v>
      </c>
      <c r="M56" s="672">
        <f t="shared" si="7"/>
        <v>0</v>
      </c>
      <c r="N56" s="672">
        <f t="shared" si="7"/>
        <v>0</v>
      </c>
      <c r="O56" s="672">
        <f t="shared" si="7"/>
        <v>0</v>
      </c>
      <c r="P56" s="672">
        <f t="shared" si="7"/>
        <v>0</v>
      </c>
      <c r="Q56" s="673">
        <f t="shared" si="7"/>
        <v>0</v>
      </c>
      <c r="R56" s="674">
        <f ca="1">SUM(R54:R55)</f>
        <v>3086.5379933450176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23076.947043100648</v>
      </c>
      <c r="D61" s="680">
        <f t="shared" ref="D61:Q61" ca="1" si="8">D46+D52+D56</f>
        <v>0</v>
      </c>
      <c r="E61" s="680">
        <f t="shared" ca="1" si="8"/>
        <v>34194.785267370986</v>
      </c>
      <c r="F61" s="680">
        <f t="shared" si="8"/>
        <v>998.72152467781893</v>
      </c>
      <c r="G61" s="680">
        <f t="shared" ca="1" si="8"/>
        <v>31877.065903101025</v>
      </c>
      <c r="H61" s="680">
        <f t="shared" si="8"/>
        <v>32511.800807271393</v>
      </c>
      <c r="I61" s="680">
        <f t="shared" si="8"/>
        <v>5407.9948625131574</v>
      </c>
      <c r="J61" s="680">
        <f t="shared" si="8"/>
        <v>0</v>
      </c>
      <c r="K61" s="680">
        <f t="shared" si="8"/>
        <v>729.84780133645472</v>
      </c>
      <c r="L61" s="680">
        <f t="shared" si="8"/>
        <v>0</v>
      </c>
      <c r="M61" s="680">
        <f t="shared" ca="1" si="8"/>
        <v>0</v>
      </c>
      <c r="N61" s="680">
        <f t="shared" si="8"/>
        <v>0</v>
      </c>
      <c r="O61" s="680">
        <f t="shared" ca="1" si="8"/>
        <v>0</v>
      </c>
      <c r="P61" s="680">
        <f t="shared" si="8"/>
        <v>0</v>
      </c>
      <c r="Q61" s="680">
        <f t="shared" si="8"/>
        <v>0</v>
      </c>
      <c r="R61" s="680">
        <f ca="1">R46+R52+R56</f>
        <v>128797.16320937147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0.20977966500307318</v>
      </c>
      <c r="D63" s="724">
        <f t="shared" ca="1" si="9"/>
        <v>0</v>
      </c>
      <c r="E63" s="950">
        <f t="shared" ca="1" si="9"/>
        <v>0.20199999999999999</v>
      </c>
      <c r="F63" s="724">
        <f t="shared" si="9"/>
        <v>0.22700000000000001</v>
      </c>
      <c r="G63" s="724">
        <f t="shared" ca="1" si="9"/>
        <v>0.26700000000000002</v>
      </c>
      <c r="H63" s="724">
        <f t="shared" si="9"/>
        <v>0.26700000000000002</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5585.0686501716245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5585.0686501716245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61438.544633281992</v>
      </c>
      <c r="C4" s="447">
        <f>huishoudens!C8</f>
        <v>0</v>
      </c>
      <c r="D4" s="447">
        <f>huishoudens!D8</f>
        <v>114728.79466493755</v>
      </c>
      <c r="E4" s="447">
        <f>huishoudens!E8</f>
        <v>3437.4556626599865</v>
      </c>
      <c r="F4" s="447">
        <f>huishoudens!F8</f>
        <v>104798.04320370301</v>
      </c>
      <c r="G4" s="447">
        <f>huishoudens!G8</f>
        <v>0</v>
      </c>
      <c r="H4" s="447">
        <f>huishoudens!H8</f>
        <v>0</v>
      </c>
      <c r="I4" s="447">
        <f>huishoudens!I8</f>
        <v>0</v>
      </c>
      <c r="J4" s="447">
        <f>huishoudens!J8</f>
        <v>1901.5239774896302</v>
      </c>
      <c r="K4" s="447">
        <f>huishoudens!K8</f>
        <v>0</v>
      </c>
      <c r="L4" s="447">
        <f>huishoudens!L8</f>
        <v>0</v>
      </c>
      <c r="M4" s="447">
        <f>huishoudens!M8</f>
        <v>0</v>
      </c>
      <c r="N4" s="447">
        <f>huishoudens!N8</f>
        <v>20315.637810298176</v>
      </c>
      <c r="O4" s="447">
        <f>huishoudens!O8</f>
        <v>100.05333333333334</v>
      </c>
      <c r="P4" s="448">
        <f>huishoudens!P8</f>
        <v>495.73333333333335</v>
      </c>
      <c r="Q4" s="449">
        <f>SUM(B4:P4)</f>
        <v>307215.78661903698</v>
      </c>
    </row>
    <row r="5" spans="1:17">
      <c r="A5" s="446" t="s">
        <v>149</v>
      </c>
      <c r="B5" s="447">
        <f ca="1">tertiair!B16</f>
        <v>35684.7103942428</v>
      </c>
      <c r="C5" s="447">
        <f ca="1">tertiair!C16</f>
        <v>0</v>
      </c>
      <c r="D5" s="447">
        <f ca="1">tertiair!D16</f>
        <v>41157.92748983299</v>
      </c>
      <c r="E5" s="447">
        <f>tertiair!E16</f>
        <v>346.51098550955982</v>
      </c>
      <c r="F5" s="447">
        <f ca="1">tertiair!F16</f>
        <v>7339.1664789792321</v>
      </c>
      <c r="G5" s="447">
        <f>tertiair!G16</f>
        <v>0</v>
      </c>
      <c r="H5" s="447">
        <f>tertiair!H16</f>
        <v>0</v>
      </c>
      <c r="I5" s="447">
        <f>tertiair!I16</f>
        <v>0</v>
      </c>
      <c r="J5" s="447">
        <f>tertiair!J16</f>
        <v>0</v>
      </c>
      <c r="K5" s="447">
        <f>tertiair!K16</f>
        <v>0</v>
      </c>
      <c r="L5" s="447">
        <f ca="1">tertiair!L16</f>
        <v>0</v>
      </c>
      <c r="M5" s="447">
        <f>tertiair!M16</f>
        <v>0</v>
      </c>
      <c r="N5" s="447">
        <f ca="1">tertiair!N16</f>
        <v>2580.8489604042047</v>
      </c>
      <c r="O5" s="447">
        <f>tertiair!O16</f>
        <v>1.5633333333333335</v>
      </c>
      <c r="P5" s="448">
        <f>tertiair!P16</f>
        <v>0</v>
      </c>
      <c r="Q5" s="446">
        <f t="shared" ref="Q5:Q14" ca="1" si="0">SUM(B5:P5)</f>
        <v>87110.727642302125</v>
      </c>
    </row>
    <row r="6" spans="1:17">
      <c r="A6" s="446" t="s">
        <v>187</v>
      </c>
      <c r="B6" s="447">
        <f>'openbare verlichting'!B8</f>
        <v>2165.9389999999999</v>
      </c>
      <c r="C6" s="447"/>
      <c r="D6" s="447"/>
      <c r="E6" s="447"/>
      <c r="F6" s="447"/>
      <c r="G6" s="447"/>
      <c r="H6" s="447"/>
      <c r="I6" s="447"/>
      <c r="J6" s="447"/>
      <c r="K6" s="447"/>
      <c r="L6" s="447"/>
      <c r="M6" s="447"/>
      <c r="N6" s="447"/>
      <c r="O6" s="447"/>
      <c r="P6" s="448"/>
      <c r="Q6" s="446">
        <f t="shared" si="0"/>
        <v>2165.9389999999999</v>
      </c>
    </row>
    <row r="7" spans="1:17">
      <c r="A7" s="446" t="s">
        <v>105</v>
      </c>
      <c r="B7" s="447">
        <f>landbouw!B8</f>
        <v>1328.3341046193868</v>
      </c>
      <c r="C7" s="447">
        <f>landbouw!C8</f>
        <v>0</v>
      </c>
      <c r="D7" s="447">
        <f>landbouw!D8</f>
        <v>394.58644852843304</v>
      </c>
      <c r="E7" s="447">
        <f>landbouw!E8</f>
        <v>13.117541051089852</v>
      </c>
      <c r="F7" s="447">
        <f>landbouw!F8</f>
        <v>4431.674047516588</v>
      </c>
      <c r="G7" s="447">
        <f>landbouw!G8</f>
        <v>0</v>
      </c>
      <c r="H7" s="447">
        <f>landbouw!H8</f>
        <v>0</v>
      </c>
      <c r="I7" s="447">
        <f>landbouw!I8</f>
        <v>0</v>
      </c>
      <c r="J7" s="447">
        <f>landbouw!J8</f>
        <v>132.52742584034425</v>
      </c>
      <c r="K7" s="447">
        <f>landbouw!K8</f>
        <v>0</v>
      </c>
      <c r="L7" s="447">
        <f>landbouw!L8</f>
        <v>0</v>
      </c>
      <c r="M7" s="447">
        <f>landbouw!M8</f>
        <v>0</v>
      </c>
      <c r="N7" s="447">
        <f>landbouw!N8</f>
        <v>0</v>
      </c>
      <c r="O7" s="447">
        <f>landbouw!O8</f>
        <v>0</v>
      </c>
      <c r="P7" s="448">
        <f>landbouw!P8</f>
        <v>0</v>
      </c>
      <c r="Q7" s="446">
        <f t="shared" si="0"/>
        <v>6300.2395675558419</v>
      </c>
    </row>
    <row r="8" spans="1:17">
      <c r="A8" s="446" t="s">
        <v>640</v>
      </c>
      <c r="B8" s="447">
        <f>industrie!B18</f>
        <v>7291.9448216670125</v>
      </c>
      <c r="C8" s="447">
        <f>industrie!C18</f>
        <v>0</v>
      </c>
      <c r="D8" s="447">
        <f>industrie!D18</f>
        <v>7749.6978604903215</v>
      </c>
      <c r="E8" s="447">
        <f>industrie!E18</f>
        <v>59.535440080527579</v>
      </c>
      <c r="F8" s="447">
        <f>industrie!F18</f>
        <v>2820.8762065091241</v>
      </c>
      <c r="G8" s="447">
        <f>industrie!G18</f>
        <v>0</v>
      </c>
      <c r="H8" s="447">
        <f>industrie!H18</f>
        <v>0</v>
      </c>
      <c r="I8" s="447">
        <f>industrie!I18</f>
        <v>0</v>
      </c>
      <c r="J8" s="447">
        <f>industrie!J18</f>
        <v>27.665549597863894</v>
      </c>
      <c r="K8" s="447">
        <f>industrie!K18</f>
        <v>0</v>
      </c>
      <c r="L8" s="447">
        <f>industrie!L18</f>
        <v>0</v>
      </c>
      <c r="M8" s="447">
        <f>industrie!M18</f>
        <v>0</v>
      </c>
      <c r="N8" s="447">
        <f>industrie!N18</f>
        <v>296.45661766400787</v>
      </c>
      <c r="O8" s="447">
        <f>industrie!O18</f>
        <v>0</v>
      </c>
      <c r="P8" s="448">
        <f>industrie!P18</f>
        <v>0</v>
      </c>
      <c r="Q8" s="446">
        <f t="shared" si="0"/>
        <v>18246.176496008855</v>
      </c>
    </row>
    <row r="9" spans="1:17" s="452" customFormat="1">
      <c r="A9" s="450" t="s">
        <v>560</v>
      </c>
      <c r="B9" s="451">
        <f>transport!B14</f>
        <v>6.334659988624904</v>
      </c>
      <c r="C9" s="451">
        <f>transport!C14</f>
        <v>0</v>
      </c>
      <c r="D9" s="451">
        <f>transport!D14</f>
        <v>8.6033808150372728</v>
      </c>
      <c r="E9" s="451">
        <f>transport!E14</f>
        <v>543.03466443372167</v>
      </c>
      <c r="F9" s="451">
        <f>transport!F14</f>
        <v>0</v>
      </c>
      <c r="G9" s="451">
        <f>transport!G14</f>
        <v>119709.13721997612</v>
      </c>
      <c r="H9" s="451">
        <f>transport!H14</f>
        <v>21718.854869530751</v>
      </c>
      <c r="I9" s="451">
        <f>transport!I14</f>
        <v>0</v>
      </c>
      <c r="J9" s="451">
        <f>transport!J14</f>
        <v>0</v>
      </c>
      <c r="K9" s="451">
        <f>transport!K14</f>
        <v>0</v>
      </c>
      <c r="L9" s="451">
        <f>transport!L14</f>
        <v>0</v>
      </c>
      <c r="M9" s="451">
        <f>transport!M14</f>
        <v>6321.3796968342076</v>
      </c>
      <c r="N9" s="451">
        <f>transport!N14</f>
        <v>0</v>
      </c>
      <c r="O9" s="451">
        <f>transport!O14</f>
        <v>0</v>
      </c>
      <c r="P9" s="451">
        <f>transport!P14</f>
        <v>0</v>
      </c>
      <c r="Q9" s="450">
        <f>SUM(B9:P9)</f>
        <v>148307.34449157846</v>
      </c>
    </row>
    <row r="10" spans="1:17">
      <c r="A10" s="446" t="s">
        <v>550</v>
      </c>
      <c r="B10" s="447">
        <f>transport!B54</f>
        <v>10.317806983121544</v>
      </c>
      <c r="C10" s="447">
        <f>transport!C54</f>
        <v>0</v>
      </c>
      <c r="D10" s="447">
        <f>transport!D54</f>
        <v>0</v>
      </c>
      <c r="E10" s="447">
        <f>transport!E54</f>
        <v>0</v>
      </c>
      <c r="F10" s="447">
        <f>transport!F54</f>
        <v>0</v>
      </c>
      <c r="G10" s="447">
        <f>transport!G54</f>
        <v>2057.9070020140944</v>
      </c>
      <c r="H10" s="447">
        <f>transport!H54</f>
        <v>0</v>
      </c>
      <c r="I10" s="447">
        <f>transport!I54</f>
        <v>0</v>
      </c>
      <c r="J10" s="447">
        <f>transport!J54</f>
        <v>0</v>
      </c>
      <c r="K10" s="447">
        <f>transport!K54</f>
        <v>0</v>
      </c>
      <c r="L10" s="447">
        <f>transport!L54</f>
        <v>0</v>
      </c>
      <c r="M10" s="447">
        <f>transport!M54</f>
        <v>90.95729772972912</v>
      </c>
      <c r="N10" s="447">
        <f>transport!N54</f>
        <v>0</v>
      </c>
      <c r="O10" s="447">
        <f>transport!O54</f>
        <v>0</v>
      </c>
      <c r="P10" s="448">
        <f>transport!P54</f>
        <v>0</v>
      </c>
      <c r="Q10" s="446">
        <f t="shared" si="0"/>
        <v>2159.1821067269448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2079.51808504772</v>
      </c>
      <c r="C14" s="454"/>
      <c r="D14" s="454">
        <f>'SEAP template'!E25</f>
        <v>5241.5053404005494</v>
      </c>
      <c r="E14" s="454"/>
      <c r="F14" s="454"/>
      <c r="G14" s="454"/>
      <c r="H14" s="454"/>
      <c r="I14" s="454"/>
      <c r="J14" s="454"/>
      <c r="K14" s="454"/>
      <c r="L14" s="454"/>
      <c r="M14" s="454"/>
      <c r="N14" s="454"/>
      <c r="O14" s="454"/>
      <c r="P14" s="455"/>
      <c r="Q14" s="446">
        <f t="shared" si="0"/>
        <v>7321.0234254482693</v>
      </c>
    </row>
    <row r="15" spans="1:17" s="459" customFormat="1">
      <c r="A15" s="456" t="s">
        <v>554</v>
      </c>
      <c r="B15" s="457">
        <f ca="1">SUM(B4:B14)</f>
        <v>110005.64350583065</v>
      </c>
      <c r="C15" s="457">
        <f t="shared" ref="C15:Q15" ca="1" si="1">SUM(C4:C14)</f>
        <v>0</v>
      </c>
      <c r="D15" s="457">
        <f t="shared" ca="1" si="1"/>
        <v>169281.11518500489</v>
      </c>
      <c r="E15" s="457">
        <f t="shared" si="1"/>
        <v>4399.6542937348859</v>
      </c>
      <c r="F15" s="457">
        <f t="shared" ca="1" si="1"/>
        <v>119389.75993670795</v>
      </c>
      <c r="G15" s="457">
        <f t="shared" si="1"/>
        <v>121767.04422199022</v>
      </c>
      <c r="H15" s="457">
        <f t="shared" si="1"/>
        <v>21718.854869530751</v>
      </c>
      <c r="I15" s="457">
        <f t="shared" si="1"/>
        <v>0</v>
      </c>
      <c r="J15" s="457">
        <f t="shared" si="1"/>
        <v>2061.7169529278381</v>
      </c>
      <c r="K15" s="457">
        <f t="shared" si="1"/>
        <v>0</v>
      </c>
      <c r="L15" s="457">
        <f t="shared" ca="1" si="1"/>
        <v>0</v>
      </c>
      <c r="M15" s="457">
        <f t="shared" si="1"/>
        <v>6412.336994563937</v>
      </c>
      <c r="N15" s="457">
        <f t="shared" ca="1" si="1"/>
        <v>23192.943388366388</v>
      </c>
      <c r="O15" s="457">
        <f t="shared" si="1"/>
        <v>101.61666666666667</v>
      </c>
      <c r="P15" s="457">
        <f t="shared" si="1"/>
        <v>495.73333333333335</v>
      </c>
      <c r="Q15" s="457">
        <f t="shared" ca="1" si="1"/>
        <v>578826.41934865748</v>
      </c>
    </row>
    <row r="17" spans="1:17">
      <c r="A17" s="460" t="s">
        <v>555</v>
      </c>
      <c r="B17" s="729">
        <f ca="1">huishoudens!B10</f>
        <v>0.20977966500307316</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12888.557311446255</v>
      </c>
      <c r="C22" s="447">
        <f t="shared" ref="C22:C32" ca="1" si="3">C4*$C$17</f>
        <v>0</v>
      </c>
      <c r="D22" s="447">
        <f t="shared" ref="D22:D32" si="4">D4*$D$17</f>
        <v>23175.216522317387</v>
      </c>
      <c r="E22" s="447">
        <f t="shared" ref="E22:E32" si="5">E4*$E$17</f>
        <v>780.30243542381697</v>
      </c>
      <c r="F22" s="447">
        <f t="shared" ref="F22:F32" si="6">F4*$F$17</f>
        <v>27981.077535388704</v>
      </c>
      <c r="G22" s="447">
        <f t="shared" ref="G22:G32" si="7">G4*$G$17</f>
        <v>0</v>
      </c>
      <c r="H22" s="447">
        <f t="shared" ref="H22:H32" si="8">H4*$H$17</f>
        <v>0</v>
      </c>
      <c r="I22" s="447">
        <f t="shared" ref="I22:I32" si="9">I4*$I$17</f>
        <v>0</v>
      </c>
      <c r="J22" s="447">
        <f t="shared" ref="J22:J32" si="10">J4*$J$17</f>
        <v>673.13948803132905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65498.293292607486</v>
      </c>
    </row>
    <row r="23" spans="1:17">
      <c r="A23" s="446" t="s">
        <v>149</v>
      </c>
      <c r="B23" s="447">
        <f t="shared" ca="1" si="2"/>
        <v>7485.9265922359373</v>
      </c>
      <c r="C23" s="447">
        <f t="shared" ca="1" si="3"/>
        <v>0</v>
      </c>
      <c r="D23" s="447">
        <f t="shared" ca="1" si="4"/>
        <v>8313.9013529462645</v>
      </c>
      <c r="E23" s="447">
        <f t="shared" si="5"/>
        <v>78.657993710670084</v>
      </c>
      <c r="F23" s="447">
        <f t="shared" ca="1" si="6"/>
        <v>1959.557449887455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17838.043388780326</v>
      </c>
    </row>
    <row r="24" spans="1:17">
      <c r="A24" s="446" t="s">
        <v>187</v>
      </c>
      <c r="B24" s="447">
        <f t="shared" ca="1" si="2"/>
        <v>454.36995783709125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454.36995783709125</v>
      </c>
    </row>
    <row r="25" spans="1:17">
      <c r="A25" s="446" t="s">
        <v>105</v>
      </c>
      <c r="B25" s="447">
        <f t="shared" ca="1" si="2"/>
        <v>278.65748347921209</v>
      </c>
      <c r="C25" s="447">
        <f t="shared" ca="1" si="3"/>
        <v>0</v>
      </c>
      <c r="D25" s="447">
        <f t="shared" si="4"/>
        <v>79.706462602743485</v>
      </c>
      <c r="E25" s="447">
        <f t="shared" si="5"/>
        <v>2.9776818185973966</v>
      </c>
      <c r="F25" s="447">
        <f t="shared" si="6"/>
        <v>1183.256970686929</v>
      </c>
      <c r="G25" s="447">
        <f t="shared" si="7"/>
        <v>0</v>
      </c>
      <c r="H25" s="447">
        <f t="shared" si="8"/>
        <v>0</v>
      </c>
      <c r="I25" s="447">
        <f t="shared" si="9"/>
        <v>0</v>
      </c>
      <c r="J25" s="447">
        <f t="shared" si="10"/>
        <v>46.91470874748186</v>
      </c>
      <c r="K25" s="447">
        <f t="shared" si="11"/>
        <v>0</v>
      </c>
      <c r="L25" s="447">
        <f t="shared" si="12"/>
        <v>0</v>
      </c>
      <c r="M25" s="447">
        <f t="shared" si="13"/>
        <v>0</v>
      </c>
      <c r="N25" s="447">
        <f t="shared" si="14"/>
        <v>0</v>
      </c>
      <c r="O25" s="447">
        <f t="shared" si="15"/>
        <v>0</v>
      </c>
      <c r="P25" s="448">
        <f t="shared" si="16"/>
        <v>0</v>
      </c>
      <c r="Q25" s="446">
        <f t="shared" ca="1" si="17"/>
        <v>1591.5133073349639</v>
      </c>
    </row>
    <row r="26" spans="1:17">
      <c r="A26" s="446" t="s">
        <v>640</v>
      </c>
      <c r="B26" s="447">
        <f t="shared" ca="1" si="2"/>
        <v>1529.7017419101999</v>
      </c>
      <c r="C26" s="447">
        <f t="shared" ca="1" si="3"/>
        <v>0</v>
      </c>
      <c r="D26" s="447">
        <f t="shared" si="4"/>
        <v>1565.438967819045</v>
      </c>
      <c r="E26" s="447">
        <f t="shared" si="5"/>
        <v>13.514544898279761</v>
      </c>
      <c r="F26" s="447">
        <f t="shared" si="6"/>
        <v>753.17394713793624</v>
      </c>
      <c r="G26" s="447">
        <f t="shared" si="7"/>
        <v>0</v>
      </c>
      <c r="H26" s="447">
        <f t="shared" si="8"/>
        <v>0</v>
      </c>
      <c r="I26" s="447">
        <f t="shared" si="9"/>
        <v>0</v>
      </c>
      <c r="J26" s="447">
        <f t="shared" si="10"/>
        <v>9.7936045576438175</v>
      </c>
      <c r="K26" s="447">
        <f t="shared" si="11"/>
        <v>0</v>
      </c>
      <c r="L26" s="447">
        <f t="shared" si="12"/>
        <v>0</v>
      </c>
      <c r="M26" s="447">
        <f t="shared" si="13"/>
        <v>0</v>
      </c>
      <c r="N26" s="447">
        <f t="shared" si="14"/>
        <v>0</v>
      </c>
      <c r="O26" s="447">
        <f t="shared" si="15"/>
        <v>0</v>
      </c>
      <c r="P26" s="448">
        <f t="shared" si="16"/>
        <v>0</v>
      </c>
      <c r="Q26" s="446">
        <f t="shared" ca="1" si="17"/>
        <v>3871.6228063231051</v>
      </c>
    </row>
    <row r="27" spans="1:17" s="452" customFormat="1">
      <c r="A27" s="450" t="s">
        <v>560</v>
      </c>
      <c r="B27" s="723">
        <f t="shared" ca="1" si="2"/>
        <v>1.3288828503221035</v>
      </c>
      <c r="C27" s="451">
        <f t="shared" ca="1" si="3"/>
        <v>0</v>
      </c>
      <c r="D27" s="451">
        <f t="shared" si="4"/>
        <v>1.7378829246375291</v>
      </c>
      <c r="E27" s="451">
        <f t="shared" si="5"/>
        <v>123.26886882645482</v>
      </c>
      <c r="F27" s="451">
        <f t="shared" si="6"/>
        <v>0</v>
      </c>
      <c r="G27" s="451">
        <f t="shared" si="7"/>
        <v>31962.339637733628</v>
      </c>
      <c r="H27" s="451">
        <f t="shared" si="8"/>
        <v>5407.9948625131574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37496.670134848202</v>
      </c>
    </row>
    <row r="28" spans="1:17">
      <c r="A28" s="446" t="s">
        <v>550</v>
      </c>
      <c r="B28" s="447">
        <f t="shared" ca="1" si="2"/>
        <v>2.1644660924856063</v>
      </c>
      <c r="C28" s="447">
        <f t="shared" ca="1" si="3"/>
        <v>0</v>
      </c>
      <c r="D28" s="447">
        <f t="shared" si="4"/>
        <v>0</v>
      </c>
      <c r="E28" s="447">
        <f t="shared" si="5"/>
        <v>0</v>
      </c>
      <c r="F28" s="447">
        <f t="shared" si="6"/>
        <v>0</v>
      </c>
      <c r="G28" s="447">
        <f t="shared" si="7"/>
        <v>549.46116953776323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551.62563563024878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436.2406072491429</v>
      </c>
      <c r="C32" s="447">
        <f t="shared" ca="1" si="3"/>
        <v>0</v>
      </c>
      <c r="D32" s="447">
        <f t="shared" si="4"/>
        <v>1058.7840787609111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1495.024686010054</v>
      </c>
    </row>
    <row r="33" spans="1:17" s="459" customFormat="1">
      <c r="A33" s="456" t="s">
        <v>554</v>
      </c>
      <c r="B33" s="457">
        <f ca="1">SUM(B22:B32)</f>
        <v>23076.947043100648</v>
      </c>
      <c r="C33" s="457">
        <f t="shared" ref="C33:Q33" ca="1" si="18">SUM(C22:C32)</f>
        <v>0</v>
      </c>
      <c r="D33" s="457">
        <f t="shared" ca="1" si="18"/>
        <v>34194.785267370986</v>
      </c>
      <c r="E33" s="457">
        <f t="shared" si="18"/>
        <v>998.72152467781893</v>
      </c>
      <c r="F33" s="457">
        <f t="shared" ca="1" si="18"/>
        <v>31877.065903101025</v>
      </c>
      <c r="G33" s="457">
        <f t="shared" si="18"/>
        <v>32511.800807271393</v>
      </c>
      <c r="H33" s="457">
        <f t="shared" si="18"/>
        <v>5407.9948625131574</v>
      </c>
      <c r="I33" s="457">
        <f t="shared" si="18"/>
        <v>0</v>
      </c>
      <c r="J33" s="457">
        <f t="shared" si="18"/>
        <v>729.84780133645472</v>
      </c>
      <c r="K33" s="457">
        <f t="shared" si="18"/>
        <v>0</v>
      </c>
      <c r="L33" s="457">
        <f t="shared" ca="1" si="18"/>
        <v>0</v>
      </c>
      <c r="M33" s="457">
        <f t="shared" si="18"/>
        <v>0</v>
      </c>
      <c r="N33" s="457">
        <f t="shared" ca="1" si="18"/>
        <v>0</v>
      </c>
      <c r="O33" s="457">
        <f t="shared" si="18"/>
        <v>0</v>
      </c>
      <c r="P33" s="457">
        <f t="shared" si="18"/>
        <v>0</v>
      </c>
      <c r="Q33" s="457">
        <f t="shared" ca="1" si="18"/>
        <v>128797.16320937147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5585.0686501716245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5585.0686501716245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0.20977966500307316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0.20977966500307316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2022-07-26T12:33:02Z</dcterms:modified>
</cp:coreProperties>
</file>