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F8CDC2F-7187-4D77-870A-2A8A236E28C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<sst xmlns="http://schemas.openxmlformats.org/spreadsheetml/2006/main" count="2497" uniqueCount="945">
  <si>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</si>
  <si>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</si>
  <si>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</si>
  <si>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</si>
  <si>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</si>
  <si>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</si>
  <si>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</si>
  <si>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</si>
  <si>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</si>
  <si>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</si>
  <si>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</si>
  <si>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</si>
  <si>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</si>
  <si>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</si>
  <si>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</si>
  <si>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</si>
  <si>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</si>
  <si>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</si>
  <si>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</si>
  <si>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</si>
  <si>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</si>
  <si>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</si>
  <si>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</si>
  <si>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</si>
  <si>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</si>
  <si>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</si>
  <si>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</si>
  <si>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</si>
  <si>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</si>
  <si>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</si>
  <si>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</si>
  <si>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</si>
  <si>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</si>
  <si>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</si>
  <si>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</si>
  <si>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</si>
  <si>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</si>
  <si>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</si>
  <si>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</si>
  <si>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</si>
  <si>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</si>
  <si>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</si>
  <si>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</si>
  <si>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</si>
  <si>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</si>
  <si>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</si>
  <si>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</si>
  <si>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</si>
  <si>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</si>
  <si>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</si>
  <si>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</si>
  <si>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</si>
  <si>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</si>
  <si>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</si>
  <si>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</si>
  <si>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</si>
  <si>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</si>
  <si>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</si>
  <si>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</si>
  <si>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</si>
  <si>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</si>
  <si>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</si>
  <si>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</si>
  <si>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</si>
  <si>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</si>
  <si>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</si>
  <si>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</si>
  <si>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</si>
  <si>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</si>
  <si>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</si>
  <si>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</si>
  <si>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</si>
  <si>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</si>
  <si>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</si>
  <si>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</si>
  <si>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</si>
  <si>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</si>
  <si>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</si>
  <si>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</si>
  <si>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</si>
  <si>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</si>
  <si>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</si>
  <si>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</si>
  <si>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</si>
  <si>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</si>
  <si>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</si>
  <si>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</si>
  <si>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</si>
  <si>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</si>
  <si>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</si>
  <si>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</si>
  <si>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</si>
  <si>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</si>
  <si>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</si>
  <si>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</si>
  <si>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</si>
  <si>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</si>
  <si>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</si>
  <si>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</si>
  <si>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</si>
  <si>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</si>
  <si>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</si>
  <si>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</si>
  <si>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</si>
  <si>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</si>
  <si>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</si>
  <si>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</si>
  <si>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</si>
  <si>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</si>
  <si>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</si>
  <si>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</si>
  <si>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</si>
  <si>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</si>
  <si>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</si>
  <si>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</si>
  <si>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</si>
  <si>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</si>
  <si>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</si>
  <si>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</si>
  <si>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</si>
  <si>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</si>
  <si>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</si>
  <si>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</si>
  <si>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</si>
  <si>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</si>
  <si>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</si>
  <si>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</si>
  <si>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</si>
  <si>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</si>
  <si>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</si>
  <si>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</si>
  <si>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</si>
  <si>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</si>
  <si>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</si>
  <si>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</si>
  <si>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</si>
  <si>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</si>
  <si>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</si>
  <si>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</si>
  <si>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</si>
  <si>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</si>
  <si>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</si>
  <si>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</si>
  <si>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</si>
  <si>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</si>
  <si>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</si>
  <si>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</si>
  <si>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</si>
  <si>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</si>
  <si>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</si>
  <si>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</si>
  <si>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</si>
  <si>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</si>
  <si>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</si>
  <si>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</si>
  <si>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</si>
  <si>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</si>
  <si>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</si>
  <si>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</si>
  <si>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</si>
  <si>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</si>
  <si>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</si>
  <si>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</si>
  <si>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</si>
  <si>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</si>
  <si>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</si>
  <si>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</si>
  <si>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</si>
  <si>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</si>
  <si>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</si>
  <si>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</si>
  <si>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</si>
  <si>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</si>
  <si>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</si>
  <si>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</si>
  <si>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</si>
  <si>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</si>
  <si>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</si>
  <si>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</si>
  <si>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</si>
  <si>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</si>
  <si>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</si>
  <si>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</si>
  <si>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</si>
  <si>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</si>
  <si>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</si>
  <si>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</si>
  <si>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</si>
  <si>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</si>
  <si>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</si>
  <si>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</si>
  <si>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</si>
  <si>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</si>
  <si>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</si>
  <si>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</si>
  <si>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</si>
  <si>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</si>
  <si>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</si>
  <si>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</si>
  <si>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</si>
  <si>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</si>
  <si>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</si>
  <si>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</si>
  <si>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</si>
  <si>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</si>
  <si>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</si>
  <si>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</si>
  <si>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</si>
  <si>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</si>
  <si>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</si>
  <si>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</si>
  <si>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</si>
  <si>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</si>
  <si>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</si>
  <si>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</si>
  <si>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</si>
  <si>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</si>
  <si>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</si>
  <si>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</si>
  <si>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</si>
  <si>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</si>
  <si>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</si>
  <si>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</si>
  <si>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</si>
  <si>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</si>
  <si>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</si>
  <si>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</si>
  <si>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</si>
  <si>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</si>
  <si>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</si>
  <si>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</si>
  <si>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</si>
  <si>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</si>
  <si>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</si>
  <si>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</si>
  <si>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</si>
  <si>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</si>
  <si>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</si>
  <si>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</si>
  <si>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</si>
  <si>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</si>
  <si>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</si>
  <si>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</si>
  <si>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</si>
  <si>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</si>
  <si>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</si>
  <si>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</si>
  <si>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</si>
  <si>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</si>
  <si>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</si>
  <si>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</si>
  <si>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</si>
  <si>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</si>
  <si>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</si>
  <si>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</si>
  <si>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</si>
  <si>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</si>
  <si>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</si>
  <si>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</si>
  <si>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</si>
  <si>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</si>
  <si>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</si>
  <si>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</si>
  <si>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</si>
  <si>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</si>
  <si>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</si>
  <si>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</si>
  <si>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</si>
  <si>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</si>
  <si>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</si>
  <si>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</si>
  <si>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</si>
  <si>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</si>
  <si>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</si>
  <si>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</si>
  <si>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</si>
  <si>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</si>
  <si>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</si>
  <si>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</si>
  <si>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</si>
  <si>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</si>
  <si>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</si>
  <si>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</si>
  <si>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</si>
  <si>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</si>
  <si>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</si>
  <si>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</si>
  <si>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</si>
  <si>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</si>
  <si>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</si>
  <si>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</si>
  <si>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</si>
  <si>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</si>
  <si>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</si>
  <si>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</si>
  <si>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</si>
  <si>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</si>
  <si>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</si>
  <si>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</si>
  <si>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</si>
  <si>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</si>
  <si>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</si>
  <si>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</si>
  <si>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</si>
  <si>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</si>
  <si>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</si>
  <si>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</si>
  <si>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</si>
  <si>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</si>
  <si>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</si>
  <si>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</si>
  <si>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</si>
  <si>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</si>
  <si>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</si>
  <si>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</si>
  <si>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</si>
  <si>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</si>
  <si>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</si>
  <si>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</si>
  <si>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</si>
  <si>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</si>
  <si>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</si>
  <si>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</si>
  <si>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</si>
  <si>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</si>
  <si>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</si>
  <si>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</si>
  <si>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</si>
  <si>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</si>
  <si>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</si>
  <si>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</si>
  <si>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</si>
  <si>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</si>
  <si>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</si>
  <si>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</si>
  <si>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</si>
  <si>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</si>
  <si>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</si>
  <si>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</si>
  <si>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</si>
  <si>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</si>
  <si>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</si>
  <si>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</si>
  <si>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</si>
  <si>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</si>
  <si>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</si>
  <si>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</si>
  <si>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</si>
  <si>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</si>
  <si>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</si>
  <si>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</si>
  <si>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</si>
  <si>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</si>
  <si>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</si>
  <si>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</si>
  <si>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</si>
  <si>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</si>
  <si>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</si>
  <si>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</si>
  <si>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</si>
  <si>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</si>
  <si>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</si>
  <si>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</si>
  <si>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</si>
  <si>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</si>
  <si>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</si>
  <si>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</si>
  <si>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</si>
  <si>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</si>
  <si>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</si>
  <si>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</si>
  <si>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</si>
  <si>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</si>
  <si>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</si>
  <si>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</si>
  <si>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</si>
  <si>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</si>
  <si>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</si>
  <si>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</si>
  <si>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</si>
  <si>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</si>
  <si>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</si>
  <si>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</si>
  <si>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</si>
  <si>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</si>
  <si>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</si>
  <si>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</si>
  <si>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</si>
  <si>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</si>
  <si>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</si>
  <si>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</si>
  <si>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</si>
  <si>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</si>
  <si>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</si>
  <si>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</si>
  <si>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</si>
  <si>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</si>
  <si>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</si>
  <si>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</si>
  <si>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</si>
  <si>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</si>
  <si>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</si>
  <si>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</si>
  <si>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</si>
  <si>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</si>
  <si>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</si>
  <si>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</si>
  <si>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</si>
  <si>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</si>
  <si>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</si>
  <si>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</si>
  <si>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</si>
  <si>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</si>
  <si>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</si>
  <si>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</si>
  <si>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</si>
  <si>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</si>
  <si>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</si>
  <si>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</si>
  <si>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</si>
  <si>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</si>
  <si>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</si>
  <si>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</si>
  <si>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</si>
  <si>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</si>
  <si>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</si>
  <si>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</si>
  <si>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</si>
  <si>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</si>
  <si>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</si>
  <si>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</si>
  <si>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</si>
  <si>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</si>
  <si>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</si>
  <si>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</si>
  <si>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</si>
  <si>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</si>
  <si>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</si>
  <si>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</si>
  <si>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</si>
  <si>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</si>
  <si>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</si>
  <si>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</si>
  <si>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</si>
  <si>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</si>
  <si>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</si>
  <si>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</si>
  <si>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</si>
  <si>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</si>
  <si>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</si>
  <si>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</si>
  <si>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</si>
  <si>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</si>
  <si>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</si>
  <si>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</si>
  <si>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</si>
  <si>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</si>
  <si>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</si>
  <si>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</si>
  <si>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</si>
  <si>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</si>
  <si>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</si>
  <si>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</si>
  <si>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</si>
  <si>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</si>
  <si>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</si>
  <si>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</si>
  <si>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</si>
  <si>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</si>
  <si>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</si>
  <si>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</si>
  <si>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</si>
  <si>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</si>
  <si>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</si>
  <si>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</si>
  <si>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</si>
  <si>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</si>
  <si>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</si>
  <si>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</si>
  <si>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</si>
  <si>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</si>
  <si>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</si>
  <si>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</si>
  <si>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</si>
  <si>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</si>
  <si>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</si>
  <si>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</si>
  <si>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</si>
  <si>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</si>
  <si>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</si>
  <si>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</si>
  <si>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</si>
  <si>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</si>
  <si>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</si>
  <si>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</si>
  <si>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</si>
  <si>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</si>
  <si>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</si>
  <si>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</si>
  <si>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</si>
  <si>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</si>
  <si>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</si>
  <si>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</si>
  <si>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</si>
  <si>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</si>
  <si>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</si>
  <si>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</si>
  <si>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</si>
  <si>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</si>
  <si>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</si>
  <si>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</si>
  <si>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</si>
  <si>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</si>
  <si>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</si>
  <si>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</si>
  <si>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</si>
  <si>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</si>
  <si>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</si>
  <si>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</si>
  <si>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</si>
  <si>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</si>
  <si>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</si>
  <si>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</si>
  <si>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</si>
  <si>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</si>
  <si>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</si>
  <si>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</si>
  <si>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</si>
  <si>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</si>
  <si>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</si>
  <si>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</si>
  <si>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</si>
  <si>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</si>
  <si>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</si>
  <si>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</si>
  <si>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</si>
  <si>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</si>
  <si>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</si>
  <si>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</si>
  <si>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</si>
  <si>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</si>
  <si>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</si>
  <si>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</si>
  <si>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</si>
  <si>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</si>
  <si>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</si>
  <si>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</si>
  <si>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</si>
  <si>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</si>
  <si>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</si>
  <si>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</si>
  <si>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</si>
  <si>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</si>
  <si>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</si>
  <si>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</si>
  <si>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</si>
  <si>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</si>
  <si>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</si>
  <si>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</si>
  <si>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</si>
  <si>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</si>
  <si>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</si>
  <si>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</si>
  <si>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</si>
  <si>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</si>
  <si>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</si>
  <si>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</si>
  <si>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</si>
  <si>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</si>
  <si>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</si>
  <si>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</si>
  <si>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</si>
  <si>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</si>
  <si>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</si>
  <si>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</si>
  <si>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</si>
  <si>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</si>
  <si>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</si>
  <si>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</si>
  <si>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</si>
  <si>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</si>
  <si>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</si>
  <si>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</si>
  <si>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</si>
  <si>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</si>
  <si>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</si>
  <si>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</si>
  <si>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</si>
  <si>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</si>
  <si>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</si>
  <si>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</si>
  <si>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</si>
  <si>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</si>
  <si>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</si>
  <si>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</si>
  <si>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</si>
  <si>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</si>
  <si>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</si>
  <si>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</si>
  <si>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</si>
  <si>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</si>
  <si>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</si>
  <si>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</si>
  <si>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</si>
  <si>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</si>
  <si>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</si>
  <si>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</si>
  <si>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</si>
  <si>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</si>
  <si>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</si>
  <si>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</si>
  <si>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</si>
  <si>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</si>
  <si>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</si>
  <si>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</si>
  <si>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</si>
  <si>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</si>
  <si>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</si>
  <si>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</si>
  <si>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</si>
  <si>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</si>
  <si>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</si>
  <si>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</si>
  <si>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</si>
  <si>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</si>
  <si>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</si>
  <si>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</si>
  <si>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</si>
  <si>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</si>
  <si>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</si>
  <si>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</si>
  <si>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</si>
  <si>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</si>
  <si>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</si>
  <si>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</si>
  <si>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</si>
  <si>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</si>
  <si>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</si>
  <si>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</si>
  <si>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</si>
  <si>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</si>
  <si>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</si>
  <si>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</si>
  <si>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</si>
  <si>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</si>
  <si>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</si>
  <si>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</si>
  <si>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</si>
  <si>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</si>
  <si>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</si>
  <si>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</si>
  <si>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</si>
  <si>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</si>
  <si>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</si>
  <si>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</si>
  <si>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</si>
  <si>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</si>
  <si>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</si>
  <si>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</si>
  <si>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</si>
  <si>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</si>
  <si>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</si>
  <si>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</si>
  <si>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</si>
  <si>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</si>
  <si>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</si>
  <si>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</si>
  <si>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</si>
  <si>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</si>
  <si>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</si>
  <si>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</si>
  <si>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</si>
  <si>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</si>
  <si>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</si>
  <si>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</si>
  <si>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</si>
  <si>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</si>
  <si>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</si>
  <si>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</si>
  <si>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</si>
  <si>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</si>
  <si>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</si>
  <si>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</si>
  <si>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</si>
  <si>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</si>
  <si>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</si>
  <si>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</si>
  <si>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</si>
  <si>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</si>
  <si>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</si>
  <si>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</si>
  <si>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</si>
  <si>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</si>
  <si>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</si>
  <si>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</si>
  <si>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</si>
  <si>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</si>
  <si>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</si>
  <si>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</si>
  <si>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</si>
  <si>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</si>
  <si>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</si>
  <si>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</si>
  <si>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</si>
  <si>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</si>
  <si>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</si>
  <si>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</si>
  <si>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</si>
  <si>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</si>
  <si>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</si>
  <si>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</si>
  <si>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</si>
  <si>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</si>
  <si>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</si>
  <si>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</si>
  <si>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</si>
  <si>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</si>
  <si>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</si>
  <si>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</si>
  <si>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</si>
  <si>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</si>
  <si>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</si>
  <si>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</si>
  <si>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</si>
  <si>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</si>
  <si>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</si>
  <si>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</si>
  <si>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</si>
  <si>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</si>
  <si>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</si>
  <si>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</si>
  <si>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</si>
  <si>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</si>
  <si>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</si>
  <si>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</si>
  <si>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</si>
  <si>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</si>
  <si>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</si>
  <si>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</si>
  <si>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</si>
  <si>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</si>
  <si>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</si>
  <si>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</si>
  <si>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</si>
  <si>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</si>
  <si>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</si>
  <si>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</si>
  <si>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</si>
  <si>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</si>
  <si>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</si>
  <si>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</si>
  <si>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</si>
  <si>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</si>
  <si>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</si>
  <si>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</si>
  <si>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</si>
  <si>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</si>
  <si>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</si>
  <si>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</si>
  <si>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</si>
  <si>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</si>
  <si>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</si>
  <si>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</si>
  <si>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</si>
  <si>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</si>
  <si>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</si>
  <si>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</si>
  <si>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</si>
  <si>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</si>
  <si>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</si>
  <si>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</si>
  <si>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</si>
  <si>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</si>
  <si>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</si>
  <si>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</si>
  <si>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</si>
  <si>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</si>
  <si>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</si>
  <si>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</si>
  <si>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</si>
  <si>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</si>
  <si>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</si>
  <si>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</si>
  <si>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</si>
  <si>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</si>
  <si>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</si>
  <si>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</si>
  <si>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</si>
  <si>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</si>
  <si>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</si>
  <si>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</si>
  <si>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</si>
  <si>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</si>
  <si>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</si>
  <si>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</si>
  <si>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</si>
  <si>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</si>
  <si>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</si>
  <si>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</si>
  <si>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</si>
  <si>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</si>
  <si>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</si>
  <si>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</si>
  <si>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</si>
  <si>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</si>
  <si>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</si>
  <si>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</si>
  <si>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</si>
  <si>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</si>
  <si>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</si>
  <si>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</si>
  <si>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</si>
  <si>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</si>
  <si>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</si>
  <si>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</si>
  <si>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</si>
  <si>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</si>
  <si>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</si>
  <si>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</si>
  <si>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</si>
  <si>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</si>
  <si>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</si>
  <si>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</si>
  <si>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</si>
  <si>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</si>
  <si>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</si>
  <si>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</si>
  <si>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</si>
  <si>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</si>
  <si>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</si>
  <si>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</si>
  <si>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</si>
  <si>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</si>
  <si>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</si>
  <si>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</si>
  <si>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</si>
  <si>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</si>
  <si>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</si>
  <si>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</si>
  <si>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</si>
  <si>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</si>
  <si>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</si>
  <si>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</si>
  <si>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</si>
  <si>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</si>
  <si>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</si>
  <si>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</si>
  <si>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</si>
  <si>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</si>
  <si>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</si>
  <si>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</si>
  <si>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</si>
  <si>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</si>
  <si>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</si>
  <si>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</si>
  <si>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</si>
  <si>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</si>
  <si>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</si>
  <si>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</si>
  <si>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</si>
  <si>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</si>
  <si>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</si>
  <si>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</si>
  <si>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</si>
  <si>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</si>
  <si>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</si>
  <si>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</si>
  <si>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</si>
  <si>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</si>
  <si>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</si>
  <si>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</si>
  <si>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</si>
  <si>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</si>
  <si>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</si>
  <si>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</si>
  <si>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</si>
  <si>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</si>
  <si>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</si>
  <si>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</si>
  <si>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</si>
  <si>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</si>
  <si>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</si>
  <si>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</si>
  <si>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</si>
  <si>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</si>
  <si>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</si>
  <si>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</si>
  <si>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</si>
  <si>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</si>
  <si>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</si>
  <si>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</si>
  <si>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</si>
  <si>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</si>
  <si>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</si>
  <si>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</si>
  <si>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</si>
  <si>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</si>
  <si>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</si>
  <si>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</si>
  <si>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</si>
  <si>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</si>
  <si>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</si>
  <si>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</si>
  <si>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</si>
  <si>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</si>
  <si>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</si>
  <si>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</si>
  <si>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</si>
  <si>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</si>
  <si>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</si>
  <si>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</si>
  <si>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</si>
  <si>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</si>
  <si>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</si>
  <si>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</si>
  <si>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</si>
  <si>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</si>
  <si>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</si>
  <si>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</si>
  <si>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</si>
  <si>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</si>
  <si>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</si>
  <si>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</si>
  <si>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</si>
  <si>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</si>
  <si>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</si>
  <si>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</si>
  <si>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</si>
  <si>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</si>
  <si>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</si>
  <si>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</si>
  <si>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</si>
  <si>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</si>
  <si>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</si>
  <si>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</si>
  <si>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</si>
  <si>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</si>
  <si>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38002</t>
  </si>
  <si>
    <t>ALVERINGEM</t>
  </si>
  <si>
    <t>Paarden&amp;pony's 200 - 600 kg</t>
  </si>
  <si>
    <t>Paarden&amp;pony's &lt; 200 kg</t>
  </si>
  <si>
    <t>vloeibaar gas (MWh)</t>
  </si>
  <si>
    <t>biomassa uit land- of bosbouw</t>
  </si>
  <si>
    <t>niet WKK interne verbrandingsmotor (vloeibaar)</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</si>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</sst>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FA38B8C8-67BE-4FF0-B3A2-449304DF715D}"/>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38002</v>
      </c>
      <c r="B6" s="384"/>
      <c r="C6" s="385"/>
    </row>
    <row r="7" spans="1:7" s="382" customFormat="1" ht="15.75" customHeight="1">
      <c r="A7" s="386" t="str">
        <f>txtMunicipality</f>
        <v>ALVERINGEM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0.19492809133564218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0.19492809133564218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1966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7035</v>
      </c>
      <c r="C14" s="327"/>
      <c r="D14" s="327"/>
      <c r="E14" s="327"/>
      <c r="F14" s="327"/>
    </row>
    <row r="15" spans="1:6">
      <c r="A15" s="1258" t="s">
        <v>177</v>
      </c>
      <c r="B15" s="1259">
        <v>72</v>
      </c>
      <c r="C15" s="327"/>
      <c r="D15" s="327"/>
      <c r="E15" s="327"/>
      <c r="F15" s="327"/>
    </row>
    <row r="16" spans="1:6">
      <c r="A16" s="1258" t="s">
        <v>6</v>
      </c>
      <c r="B16" s="1259">
        <v>2009</v>
      </c>
      <c r="C16" s="327"/>
      <c r="D16" s="327"/>
      <c r="E16" s="327"/>
      <c r="F16" s="327"/>
    </row>
    <row r="17" spans="1:6">
      <c r="A17" s="1258" t="s">
        <v>7</v>
      </c>
      <c r="B17" s="1259">
        <v>1938</v>
      </c>
      <c r="C17" s="327"/>
      <c r="D17" s="327"/>
      <c r="E17" s="327"/>
      <c r="F17" s="327"/>
    </row>
    <row r="18" spans="1:6">
      <c r="A18" s="1258" t="s">
        <v>8</v>
      </c>
      <c r="B18" s="1259">
        <v>2422</v>
      </c>
      <c r="C18" s="327"/>
      <c r="D18" s="327"/>
      <c r="E18" s="327"/>
      <c r="F18" s="327"/>
    </row>
    <row r="19" spans="1:6">
      <c r="A19" s="1258" t="s">
        <v>9</v>
      </c>
      <c r="B19" s="1259">
        <v>2292</v>
      </c>
      <c r="C19" s="327"/>
      <c r="D19" s="327"/>
      <c r="E19" s="327"/>
      <c r="F19" s="327"/>
    </row>
    <row r="20" spans="1:6">
      <c r="A20" s="1258" t="s">
        <v>10</v>
      </c>
      <c r="B20" s="1259">
        <v>1583</v>
      </c>
      <c r="C20" s="327"/>
      <c r="D20" s="327"/>
      <c r="E20" s="327"/>
      <c r="F20" s="327"/>
    </row>
    <row r="21" spans="1:6">
      <c r="A21" s="1258" t="s">
        <v>11</v>
      </c>
      <c r="B21" s="1259">
        <v>34697</v>
      </c>
      <c r="C21" s="327"/>
      <c r="D21" s="327"/>
      <c r="E21" s="327"/>
      <c r="F21" s="327"/>
    </row>
    <row r="22" spans="1:6">
      <c r="A22" s="1258" t="s">
        <v>12</v>
      </c>
      <c r="B22" s="1259">
        <v>71398</v>
      </c>
      <c r="C22" s="327"/>
      <c r="D22" s="327"/>
      <c r="E22" s="327"/>
      <c r="F22" s="327"/>
    </row>
    <row r="23" spans="1:6">
      <c r="A23" s="1258" t="s">
        <v>13</v>
      </c>
      <c r="B23" s="1259">
        <v>1362</v>
      </c>
      <c r="C23" s="327"/>
      <c r="D23" s="327"/>
      <c r="E23" s="327"/>
      <c r="F23" s="327"/>
    </row>
    <row r="24" spans="1:6">
      <c r="A24" s="1258" t="s">
        <v>14</v>
      </c>
      <c r="B24" s="1259">
        <v>78</v>
      </c>
      <c r="C24" s="327"/>
      <c r="D24" s="327"/>
      <c r="E24" s="327"/>
      <c r="F24" s="327"/>
    </row>
    <row r="25" spans="1:6">
      <c r="A25" s="1258" t="s">
        <v>15</v>
      </c>
      <c r="B25" s="1259">
        <v>8621</v>
      </c>
      <c r="C25" s="327"/>
      <c r="D25" s="327"/>
      <c r="E25" s="327"/>
      <c r="F25" s="327"/>
    </row>
    <row r="26" spans="1:6">
      <c r="A26" s="1258" t="s">
        <v>16</v>
      </c>
      <c r="B26" s="1259">
        <v>333</v>
      </c>
      <c r="C26" s="327"/>
      <c r="D26" s="327"/>
      <c r="E26" s="327"/>
      <c r="F26" s="327"/>
    </row>
    <row r="27" spans="1:6">
      <c r="A27" s="1258" t="s">
        <v>17</v>
      </c>
      <c r="B27" s="1259">
        <v>17</v>
      </c>
      <c r="C27" s="327"/>
      <c r="D27" s="327"/>
      <c r="E27" s="327"/>
      <c r="F27" s="327"/>
    </row>
    <row r="28" spans="1:6">
      <c r="A28" s="1258" t="s">
        <v>18</v>
      </c>
      <c r="B28" s="1260">
        <v>351788</v>
      </c>
      <c r="C28" s="327"/>
      <c r="D28" s="327"/>
      <c r="E28" s="327"/>
      <c r="F28" s="327"/>
    </row>
    <row r="29" spans="1:6">
      <c r="A29" s="1258" t="s">
        <v>939</v>
      </c>
      <c r="B29" s="1260">
        <v>123</v>
      </c>
      <c r="C29" s="327"/>
      <c r="D29" s="327"/>
      <c r="E29" s="327"/>
      <c r="F29" s="327"/>
    </row>
    <row r="30" spans="1:6">
      <c r="A30" s="1253" t="s">
        <v>940</v>
      </c>
      <c r="B30" s="1261">
        <v>27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115382.96033176</v>
      </c>
    </row>
    <row r="39" spans="1:6">
      <c r="A39" s="1258" t="s">
        <v>29</v>
      </c>
      <c r="B39" s="1258" t="s">
        <v>30</v>
      </c>
      <c r="C39" s="1259">
        <v>811</v>
      </c>
      <c r="D39" s="1259">
        <v>14251504.280512</v>
      </c>
      <c r="E39" s="1259">
        <v>1751</v>
      </c>
      <c r="F39" s="1259">
        <v>7127295.3553523701</v>
      </c>
    </row>
    <row r="40" spans="1:6">
      <c r="A40" s="1258" t="s">
        <v>29</v>
      </c>
      <c r="B40" s="1258" t="s">
        <v>28</v>
      </c>
      <c r="C40" s="1259">
        <v>0</v>
      </c>
      <c r="D40" s="1259">
        <v>0</v>
      </c>
      <c r="E40" s="1259">
        <v>0</v>
      </c>
      <c r="F40" s="1259">
        <v>0</v>
      </c>
    </row>
    <row r="41" spans="1:6">
      <c r="A41" s="1258" t="s">
        <v>31</v>
      </c>
      <c r="B41" s="1258" t="s">
        <v>32</v>
      </c>
      <c r="C41" s="1259">
        <v>0</v>
      </c>
      <c r="D41" s="1259">
        <v>0</v>
      </c>
      <c r="E41" s="1259">
        <v>27</v>
      </c>
      <c r="F41" s="1259">
        <v>216435.92567499101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9</v>
      </c>
      <c r="F44" s="1259">
        <v>942216.15583304001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11</v>
      </c>
      <c r="D48" s="1259">
        <v>423229.57089598803</v>
      </c>
      <c r="E48" s="1259">
        <v>33</v>
      </c>
      <c r="F48" s="1259">
        <v>1284040.72118945</v>
      </c>
    </row>
    <row r="49" spans="1:6">
      <c r="A49" s="1258" t="s">
        <v>31</v>
      </c>
      <c r="B49" s="1258" t="s">
        <v>39</v>
      </c>
      <c r="C49" s="1259">
        <v>0</v>
      </c>
      <c r="D49" s="1259">
        <v>0</v>
      </c>
      <c r="E49" s="1259">
        <v>0</v>
      </c>
      <c r="F49" s="1259">
        <v>0</v>
      </c>
    </row>
    <row r="50" spans="1:6">
      <c r="A50" s="1258" t="s">
        <v>31</v>
      </c>
      <c r="B50" s="1258" t="s">
        <v>40</v>
      </c>
      <c r="C50" s="1259">
        <v>5</v>
      </c>
      <c r="D50" s="1259">
        <v>299865.58713120001</v>
      </c>
      <c r="E50" s="1259">
        <v>6</v>
      </c>
      <c r="F50" s="1259">
        <v>214217.98693923699</v>
      </c>
    </row>
    <row r="51" spans="1:6">
      <c r="A51" s="1258" t="s">
        <v>41</v>
      </c>
      <c r="B51" s="1258" t="s">
        <v>42</v>
      </c>
      <c r="C51" s="1259">
        <v>5</v>
      </c>
      <c r="D51" s="1259">
        <v>257570.10335680001</v>
      </c>
      <c r="E51" s="1259">
        <v>203</v>
      </c>
      <c r="F51" s="1259">
        <v>5244825.64011278</v>
      </c>
    </row>
    <row r="52" spans="1:6">
      <c r="A52" s="1258" t="s">
        <v>41</v>
      </c>
      <c r="B52" s="1258" t="s">
        <v>28</v>
      </c>
      <c r="C52" s="1259">
        <v>3</v>
      </c>
      <c r="D52" s="1259">
        <v>128461.461933909</v>
      </c>
      <c r="E52" s="1259">
        <v>15</v>
      </c>
      <c r="F52" s="1259">
        <v>653729.13769896806</v>
      </c>
    </row>
    <row r="53" spans="1:6">
      <c r="A53" s="1258" t="s">
        <v>43</v>
      </c>
      <c r="B53" s="1258" t="s">
        <v>44</v>
      </c>
      <c r="C53" s="1259">
        <v>22</v>
      </c>
      <c r="D53" s="1259">
        <v>472847.94587598502</v>
      </c>
      <c r="E53" s="1259">
        <v>63</v>
      </c>
      <c r="F53" s="1259">
        <v>350978.40916621202</v>
      </c>
    </row>
    <row r="54" spans="1:6">
      <c r="A54" s="1258" t="s">
        <v>45</v>
      </c>
      <c r="B54" s="1258" t="s">
        <v>46</v>
      </c>
      <c r="C54" s="1259">
        <v>0</v>
      </c>
      <c r="D54" s="1259">
        <v>0</v>
      </c>
      <c r="E54" s="1259">
        <v>1</v>
      </c>
      <c r="F54" s="1259">
        <v>378132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0</v>
      </c>
      <c r="D57" s="1259">
        <v>0</v>
      </c>
      <c r="E57" s="1259">
        <v>28</v>
      </c>
      <c r="F57" s="1259">
        <v>148412.137051567</v>
      </c>
    </row>
    <row r="58" spans="1:6">
      <c r="A58" s="1258" t="s">
        <v>48</v>
      </c>
      <c r="B58" s="1258" t="s">
        <v>50</v>
      </c>
      <c r="C58" s="1259">
        <v>0</v>
      </c>
      <c r="D58" s="1259">
        <v>0</v>
      </c>
      <c r="E58" s="1259">
        <v>3</v>
      </c>
      <c r="F58" s="1259">
        <v>47378.7641349103</v>
      </c>
    </row>
    <row r="59" spans="1:6">
      <c r="A59" s="1258" t="s">
        <v>48</v>
      </c>
      <c r="B59" s="1258" t="s">
        <v>51</v>
      </c>
      <c r="C59" s="1259">
        <v>3</v>
      </c>
      <c r="D59" s="1259">
        <v>32798.219494993697</v>
      </c>
      <c r="E59" s="1259">
        <v>29</v>
      </c>
      <c r="F59" s="1259">
        <v>618768.11580440705</v>
      </c>
    </row>
    <row r="60" spans="1:6">
      <c r="A60" s="1258" t="s">
        <v>48</v>
      </c>
      <c r="B60" s="1258" t="s">
        <v>52</v>
      </c>
      <c r="C60" s="1259">
        <v>17</v>
      </c>
      <c r="D60" s="1259">
        <v>468159.238750435</v>
      </c>
      <c r="E60" s="1259">
        <v>35</v>
      </c>
      <c r="F60" s="1259">
        <v>640435.151545614</v>
      </c>
    </row>
    <row r="61" spans="1:6">
      <c r="A61" s="1258" t="s">
        <v>48</v>
      </c>
      <c r="B61" s="1258" t="s">
        <v>53</v>
      </c>
      <c r="C61" s="1259">
        <v>23</v>
      </c>
      <c r="D61" s="1259">
        <v>905634.08308831905</v>
      </c>
      <c r="E61" s="1259">
        <v>82</v>
      </c>
      <c r="F61" s="1259">
        <v>662624.38610501296</v>
      </c>
    </row>
    <row r="62" spans="1:6">
      <c r="A62" s="1258" t="s">
        <v>48</v>
      </c>
      <c r="B62" s="1258" t="s">
        <v>54</v>
      </c>
      <c r="C62" s="1259">
        <v>0</v>
      </c>
      <c r="D62" s="1259">
        <v>0</v>
      </c>
      <c r="E62" s="1259">
        <v>5</v>
      </c>
      <c r="F62" s="1259">
        <v>33086.502419735603</v>
      </c>
    </row>
    <row r="63" spans="1:6">
      <c r="A63" s="1258" t="s">
        <v>48</v>
      </c>
      <c r="B63" s="1258" t="s">
        <v>28</v>
      </c>
      <c r="C63" s="1259">
        <v>55</v>
      </c>
      <c r="D63" s="1259">
        <v>1969904.9395653901</v>
      </c>
      <c r="E63" s="1259">
        <v>104</v>
      </c>
      <c r="F63" s="1259">
        <v>2492435.55765214</v>
      </c>
    </row>
    <row r="64" spans="1:6">
      <c r="A64" s="1258" t="s">
        <v>55</v>
      </c>
      <c r="B64" s="1258" t="s">
        <v>56</v>
      </c>
      <c r="C64" s="1259">
        <v>0</v>
      </c>
      <c r="D64" s="1259">
        <v>0</v>
      </c>
      <c r="E64" s="1259">
        <v>0</v>
      </c>
      <c r="F64" s="1259">
        <v>0</v>
      </c>
    </row>
    <row r="65" spans="1:6">
      <c r="A65" s="1258" t="s">
        <v>55</v>
      </c>
      <c r="B65" s="1258" t="s">
        <v>28</v>
      </c>
      <c r="C65" s="1259">
        <v>1</v>
      </c>
      <c r="D65" s="1259">
        <v>50357.173727267997</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31525.958773267601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28866659</v>
      </c>
      <c r="E73" s="445"/>
      <c r="F73" s="327"/>
    </row>
    <row r="74" spans="1:6">
      <c r="A74" s="1258" t="s">
        <v>63</v>
      </c>
      <c r="B74" s="1258" t="s">
        <v>724</v>
      </c>
      <c r="C74" s="1271" t="s">
        <v>718</v>
      </c>
      <c r="D74" s="1259">
        <v>2993811.8666982558</v>
      </c>
      <c r="E74" s="445"/>
      <c r="F74" s="327"/>
    </row>
    <row r="75" spans="1:6">
      <c r="A75" s="1258" t="s">
        <v>64</v>
      </c>
      <c r="B75" s="1258" t="s">
        <v>723</v>
      </c>
      <c r="C75" s="1271" t="s">
        <v>719</v>
      </c>
      <c r="D75" s="1259">
        <v>8091355</v>
      </c>
      <c r="E75" s="445"/>
      <c r="F75" s="327"/>
    </row>
    <row r="76" spans="1:6">
      <c r="A76" s="1258" t="s">
        <v>64</v>
      </c>
      <c r="B76" s="1258" t="s">
        <v>724</v>
      </c>
      <c r="C76" s="1271" t="s">
        <v>720</v>
      </c>
      <c r="D76" s="1259">
        <v>379397.86669825565</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71910.266603488722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1307.7722491081399</v>
      </c>
      <c r="C91" s="327"/>
      <c r="D91" s="327"/>
      <c r="E91" s="327"/>
      <c r="F91" s="327"/>
    </row>
    <row r="92" spans="1:6">
      <c r="A92" s="1253" t="s">
        <v>68</v>
      </c>
      <c r="B92" s="1254">
        <v>1306.0020502844884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457</v>
      </c>
      <c r="C97" s="327"/>
      <c r="D97" s="327"/>
      <c r="E97" s="327"/>
      <c r="F97" s="327"/>
    </row>
    <row r="98" spans="1:6">
      <c r="A98" s="1258" t="s">
        <v>71</v>
      </c>
      <c r="B98" s="1259">
        <v>0</v>
      </c>
      <c r="C98" s="327"/>
      <c r="D98" s="327"/>
      <c r="E98" s="327"/>
      <c r="F98" s="327"/>
    </row>
    <row r="99" spans="1:6">
      <c r="A99" s="1258" t="s">
        <v>72</v>
      </c>
      <c r="B99" s="1259">
        <v>147</v>
      </c>
      <c r="C99" s="327"/>
      <c r="D99" s="327"/>
      <c r="E99" s="327"/>
      <c r="F99" s="327"/>
    </row>
    <row r="100" spans="1:6">
      <c r="A100" s="1258" t="s">
        <v>73</v>
      </c>
      <c r="B100" s="1259">
        <v>105</v>
      </c>
      <c r="C100" s="327"/>
      <c r="D100" s="327"/>
      <c r="E100" s="327"/>
      <c r="F100" s="327"/>
    </row>
    <row r="101" spans="1:6">
      <c r="A101" s="1258" t="s">
        <v>74</v>
      </c>
      <c r="B101" s="1259">
        <v>83</v>
      </c>
      <c r="C101" s="327"/>
      <c r="D101" s="327"/>
      <c r="E101" s="327"/>
      <c r="F101" s="327"/>
    </row>
    <row r="102" spans="1:6">
      <c r="A102" s="1258" t="s">
        <v>75</v>
      </c>
      <c r="B102" s="1259">
        <v>39</v>
      </c>
      <c r="C102" s="327"/>
      <c r="D102" s="327"/>
      <c r="E102" s="327"/>
      <c r="F102" s="327"/>
    </row>
    <row r="103" spans="1:6">
      <c r="A103" s="1258" t="s">
        <v>76</v>
      </c>
      <c r="B103" s="1259">
        <v>130</v>
      </c>
      <c r="C103" s="327"/>
      <c r="D103" s="327"/>
      <c r="E103" s="327"/>
      <c r="F103" s="327"/>
    </row>
    <row r="104" spans="1:6">
      <c r="A104" s="1258" t="s">
        <v>77</v>
      </c>
      <c r="B104" s="1259">
        <v>848</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6</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31</v>
      </c>
      <c r="C129" s="327"/>
      <c r="D129" s="327"/>
      <c r="E129" s="327"/>
      <c r="F129" s="327"/>
    </row>
    <row r="130" spans="1:6">
      <c r="A130" s="1258" t="s">
        <v>284</v>
      </c>
      <c r="B130" s="1259">
        <v>4</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22365.599606557756</v>
      </c>
      <c r="C3" s="44" t="s">
        <v>163</v>
      </c>
      <c r="D3" s="44"/>
      <c r="E3" s="157"/>
      <c r="F3" s="44"/>
      <c r="G3" s="44"/>
      <c r="H3" s="44"/>
      <c r="I3" s="44"/>
      <c r="J3" s="44"/>
      <c r="K3" s="97"/>
    </row>
    <row r="4" spans="1:11">
      <c r="A4" s="352" t="s">
        <v>164</v>
      </c>
      <c r="B4" s="50">
        <f>IF(ISERROR('SEAP template'!B78+'SEAP template'!C78),0,'SEAP template'!B78+'SEAP template'!C78)</f>
        <v>2638.5242993926286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0.19492809133564218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378.13200000000001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378.13200000000001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0.19492809133564218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73.708549032929042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7127.2953553523703</v>
      </c>
      <c r="C5" s="18">
        <f>IF(ISERROR('Eigen informatie GS &amp; warmtenet'!B57),0,'Eigen informatie GS &amp; warmtenet'!B57)</f>
        <v>0</v>
      </c>
      <c r="D5" s="31">
        <f>(SUM(HH_hh_gas_kWh,HH_rest_gas_kWh)/1000)*0.902</f>
        <v>12854.856861021824</v>
      </c>
      <c r="E5" s="18">
        <f>B32*B41</f>
        <v>616.10968538177588</v>
      </c>
      <c r="F5" s="18">
        <f>B36*B45</f>
        <v>18783.395558590459</v>
      </c>
      <c r="G5" s="19"/>
      <c r="H5" s="18"/>
      <c r="I5" s="18"/>
      <c r="J5" s="18">
        <f>B35*B44+C35*C44</f>
        <v>340.8181674146939</v>
      </c>
      <c r="K5" s="18"/>
      <c r="L5" s="18"/>
      <c r="M5" s="18"/>
      <c r="N5" s="18">
        <f>B34*B43+C34*C43</f>
        <v>2990.2744174826576</v>
      </c>
      <c r="O5" s="18">
        <f>B52*B53*B54</f>
        <v>57.843333333333334</v>
      </c>
      <c r="P5" s="18">
        <f>B60*B61*B62/1000-B60*B61*B62/1000/B63</f>
        <v>209.73333333333335</v>
      </c>
    </row>
    <row r="6" spans="1:16">
      <c r="A6" s="17" t="s">
        <v>597</v>
      </c>
      <c r="B6" s="731">
        <f>kWh_PV_kleiner_dan_10kW</f>
        <v>1307.7722491081399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8435.0676044605098</v>
      </c>
      <c r="C8" s="22">
        <f>C5</f>
        <v>0</v>
      </c>
      <c r="D8" s="22">
        <f>D5</f>
        <v>12854.856861021824</v>
      </c>
      <c r="E8" s="22">
        <f>E5</f>
        <v>616.10968538177588</v>
      </c>
      <c r="F8" s="22">
        <f>F5</f>
        <v>18783.395558590459</v>
      </c>
      <c r="G8" s="22"/>
      <c r="H8" s="22"/>
      <c r="I8" s="22"/>
      <c r="J8" s="22">
        <f>J5</f>
        <v>340.8181674146939</v>
      </c>
      <c r="K8" s="22"/>
      <c r="L8" s="22">
        <f>L5</f>
        <v>0</v>
      </c>
      <c r="M8" s="22">
        <f>M5</f>
        <v>0</v>
      </c>
      <c r="N8" s="22">
        <f>N5</f>
        <v>2990.2744174826576</v>
      </c>
      <c r="O8" s="22">
        <f>O5</f>
        <v>57.843333333333334</v>
      </c>
      <c r="P8" s="22">
        <f>P5</f>
        <v>209.73333333333335</v>
      </c>
    </row>
    <row r="9" spans="1:16">
      <c r="B9" s="20"/>
      <c r="C9" s="20"/>
      <c r="D9" s="258"/>
      <c r="E9" s="20"/>
      <c r="F9" s="20"/>
      <c r="G9" s="20"/>
      <c r="H9" s="20"/>
      <c r="I9" s="20"/>
      <c r="J9" s="20"/>
      <c r="K9" s="20"/>
      <c r="L9" s="20"/>
      <c r="M9" s="20"/>
      <c r="N9" s="20"/>
      <c r="O9" s="20"/>
      <c r="P9" s="20"/>
    </row>
    <row r="10" spans="1:16">
      <c r="A10" s="25" t="s">
        <v>207</v>
      </c>
      <c r="B10" s="26">
        <f ca="1">'EF ele_warmte'!B12</f>
        <v>0.19492809133564218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1644.2316284245946</v>
      </c>
      <c r="C12" s="24">
        <f ca="1">C10*C8</f>
        <v>0</v>
      </c>
      <c r="D12" s="24">
        <f>D8*D10</f>
        <v>2596.6810859264087</v>
      </c>
      <c r="E12" s="24">
        <f>E10*E8</f>
        <v>139.85689858166313</v>
      </c>
      <c r="F12" s="24">
        <f>F10*F8</f>
        <v>5015.1666141436526</v>
      </c>
      <c r="G12" s="24"/>
      <c r="H12" s="24"/>
      <c r="I12" s="24"/>
      <c r="J12" s="24">
        <f>J10*J8</f>
        <v>120.64963126480164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1966</v>
      </c>
      <c r="C26" s="37"/>
      <c r="D26" s="228"/>
    </row>
    <row r="27" spans="1:5" s="16" customFormat="1">
      <c r="A27" s="230" t="s">
        <v>623</v>
      </c>
      <c r="B27" s="38">
        <f>SUM(HH_hh_gas_aantal,HH_rest_gas_aantal)</f>
        <v>811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770.45</v>
      </c>
      <c r="C31" s="35" t="s">
        <v>104</v>
      </c>
      <c r="D31" s="174"/>
    </row>
    <row r="32" spans="1:5">
      <c r="A32" s="171" t="s">
        <v>72</v>
      </c>
      <c r="B32" s="34">
        <f>IF((B21*($B$26-($B$27-0.05*$B$27)-$B$60))&lt;0,0,B21*($B$26-($B$27-0.05*$B$27)-$B$60))</f>
        <v>29.110707824761203</v>
      </c>
      <c r="C32" s="35" t="s">
        <v>104</v>
      </c>
      <c r="D32" s="174"/>
    </row>
    <row r="33" spans="1:6">
      <c r="A33" s="171" t="s">
        <v>73</v>
      </c>
      <c r="B33" s="34">
        <f>IF((B22*($B$26-($B$27-0.05*$B$27)-$B$60))&lt;0,0,B22*($B$26-($B$27-0.05*$B$27)-$B$60))</f>
        <v>195.94920584883246</v>
      </c>
      <c r="C33" s="35" t="s">
        <v>104</v>
      </c>
      <c r="D33" s="174"/>
    </row>
    <row r="34" spans="1:6">
      <c r="A34" s="171" t="s">
        <v>74</v>
      </c>
      <c r="B34" s="34">
        <f>IF((B24*($B$26-($B$27-0.05*$B$27)-$B$60))&lt;0,0,B24*($B$26-($B$27-0.05*$B$27)-$B$60))</f>
        <v>49.696848838280999</v>
      </c>
      <c r="C34" s="34">
        <f>B26*C24</f>
        <v>402.05157619739606</v>
      </c>
      <c r="D34" s="233"/>
    </row>
    <row r="35" spans="1:6">
      <c r="A35" s="171" t="s">
        <v>76</v>
      </c>
      <c r="B35" s="34">
        <f>IF((B19*($B$26-($B$27-0.05*$B$27)-$B$60))&lt;0,0,B19*($B$26-($B$27-0.05*$B$27)-$B$60))</f>
        <v>18.475715696599988</v>
      </c>
      <c r="C35" s="34">
        <f>B35/2</f>
        <v>9.2378578482999938</v>
      </c>
      <c r="D35" s="233"/>
    </row>
    <row r="36" spans="1:6">
      <c r="A36" s="171" t="s">
        <v>77</v>
      </c>
      <c r="B36" s="34">
        <f>IF((B18*($B$26-($B$27-0.05*$B$27)-$B$60))&lt;0,0,B18*($B$26-($B$27-0.05*$B$27)-$B$60))</f>
        <v>891.317521791525</v>
      </c>
      <c r="C36" s="35" t="s">
        <v>104</v>
      </c>
      <c r="D36" s="174"/>
    </row>
    <row r="37" spans="1:6">
      <c r="A37" s="171" t="s">
        <v>78</v>
      </c>
      <c r="B37" s="34">
        <f>B60</f>
        <v>11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37</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4643.1406147133875</v>
      </c>
      <c r="C5" s="18">
        <f>IF(ISERROR('Eigen informatie GS &amp; warmtenet'!B58),0,'Eigen informatie GS &amp; warmtenet'!B58)</f>
        <v>0</v>
      </c>
      <c r="D5" s="31">
        <f>SUM(D6:D12)</f>
        <v>3045.5998257710226</v>
      </c>
      <c r="E5" s="18">
        <f>SUM(E6:E12)</f>
        <v>60.19741514605429</v>
      </c>
      <c r="F5" s="18">
        <f>SUM(F6:F12)</f>
        <v>901.09991413014791</v>
      </c>
      <c r="G5" s="19"/>
      <c r="H5" s="18"/>
      <c r="I5" s="18"/>
      <c r="J5" s="18">
        <f>SUM(J6:J12)</f>
        <v>0</v>
      </c>
      <c r="K5" s="18"/>
      <c r="L5" s="18"/>
      <c r="M5" s="18"/>
      <c r="N5" s="18">
        <f>SUM(N6:N12)</f>
        <v>222.19293687877982</v>
      </c>
      <c r="O5" s="18">
        <f>B38*B39*B40</f>
        <v>6.2533333333333339</v>
      </c>
      <c r="P5" s="18">
        <f>B46*B47*B48/1000-B46*B47*B48/1000/B49</f>
        <v>19.066666666666666</v>
      </c>
      <c r="R5" s="33"/>
    </row>
    <row r="6" spans="1:18">
      <c r="A6" s="33" t="s">
        <v>53</v>
      </c>
      <c r="B6" s="38">
        <f>B26</f>
        <v>662.62438610501295</v>
      </c>
      <c r="C6" s="34"/>
      <c r="D6" s="38">
        <f>IF(ISERROR(TER_kantoor_gas_kWh/1000),0,TER_kantoor_gas_kWh/1000)*0.902</f>
        <v>816.88194294566381</v>
      </c>
      <c r="E6" s="34">
        <f>$C$26*'E Balans VL '!I12/100/3.6*1000000</f>
        <v>1.0824168605776501</v>
      </c>
      <c r="F6" s="34">
        <f>$C$26*('E Balans VL '!L12+'E Balans VL '!N12)/100/3.6*1000000</f>
        <v>77.8464577308076</v>
      </c>
      <c r="G6" s="35"/>
      <c r="H6" s="34"/>
      <c r="I6" s="34"/>
      <c r="J6" s="34">
        <f>$C$26*('E Balans VL '!D12+'E Balans VL '!E12)/100/3.6*1000000</f>
        <v>0</v>
      </c>
      <c r="K6" s="34"/>
      <c r="L6" s="34"/>
      <c r="M6" s="34"/>
      <c r="N6" s="34">
        <f>$C$26*'E Balans VL '!Y12/100/3.6*1000000</f>
        <v>4.8247530334560524</v>
      </c>
      <c r="O6" s="34"/>
      <c r="P6" s="34"/>
      <c r="R6" s="33"/>
    </row>
    <row r="7" spans="1:18">
      <c r="A7" s="33" t="s">
        <v>52</v>
      </c>
      <c r="B7" s="38">
        <f t="shared" ref="B7:B12" si="0">B27</f>
        <v>640.43515154561396</v>
      </c>
      <c r="C7" s="34"/>
      <c r="D7" s="38">
        <f>IF(ISERROR(TER_horeca_gas_kWh/1000),0,TER_horeca_gas_kWh/1000)*0.902</f>
        <v>422.2796333528924</v>
      </c>
      <c r="E7" s="34">
        <f>$C$27*'E Balans VL '!I9/100/3.6*1000000</f>
        <v>33.134159125017483</v>
      </c>
      <c r="F7" s="34">
        <f>$C$27*('E Balans VL '!L9+'E Balans VL '!N9)/100/3.6*1000000</f>
        <v>145.70893115573372</v>
      </c>
      <c r="G7" s="35"/>
      <c r="H7" s="34"/>
      <c r="I7" s="34"/>
      <c r="J7" s="34">
        <f>$C$27*('E Balans VL '!D9+'E Balans VL '!E9)/100/3.6*1000000</f>
        <v>0</v>
      </c>
      <c r="K7" s="34"/>
      <c r="L7" s="34"/>
      <c r="M7" s="34"/>
      <c r="N7" s="34">
        <f>$C$27*'E Balans VL '!Y9/100/3.6*1000000</f>
        <v>6.7426627845790565E-2</v>
      </c>
      <c r="O7" s="34"/>
      <c r="P7" s="34"/>
      <c r="R7" s="33"/>
    </row>
    <row r="8" spans="1:18">
      <c r="A8" s="6" t="s">
        <v>51</v>
      </c>
      <c r="B8" s="38">
        <f t="shared" si="0"/>
        <v>618.7681158044071</v>
      </c>
      <c r="C8" s="34"/>
      <c r="D8" s="38">
        <f>IF(ISERROR(TER_handel_gas_kWh/1000),0,TER_handel_gas_kWh/1000)*0.902</f>
        <v>29.583993984484312</v>
      </c>
      <c r="E8" s="34">
        <f>$C$28*'E Balans VL '!I13/100/3.6*1000000</f>
        <v>3.2502317513228762</v>
      </c>
      <c r="F8" s="34">
        <f>$C$28*('E Balans VL '!L13+'E Balans VL '!N13)/100/3.6*1000000</f>
        <v>116.65851260996577</v>
      </c>
      <c r="G8" s="35"/>
      <c r="H8" s="34"/>
      <c r="I8" s="34"/>
      <c r="J8" s="34">
        <f>$C$28*('E Balans VL '!D13+'E Balans VL '!E13)/100/3.6*1000000</f>
        <v>0</v>
      </c>
      <c r="K8" s="34"/>
      <c r="L8" s="34"/>
      <c r="M8" s="34"/>
      <c r="N8" s="34">
        <f>$C$28*'E Balans VL '!Y13/100/3.6*1000000</f>
        <v>3.0675702104186868</v>
      </c>
      <c r="O8" s="34"/>
      <c r="P8" s="34"/>
      <c r="R8" s="33"/>
    </row>
    <row r="9" spans="1:18">
      <c r="A9" s="33" t="s">
        <v>50</v>
      </c>
      <c r="B9" s="38">
        <f t="shared" si="0"/>
        <v>47.378764134910298</v>
      </c>
      <c r="C9" s="34"/>
      <c r="D9" s="38">
        <f>IF(ISERROR(TER_gezond_gas_kWh/1000),0,TER_gezond_gas_kWh/1000)*0.902</f>
        <v>0</v>
      </c>
      <c r="E9" s="34">
        <f>$C$29*'E Balans VL '!I10/100/3.6*1000000</f>
        <v>4.2060189485275547E-2</v>
      </c>
      <c r="F9" s="34">
        <f>$C$29*('E Balans VL '!L10+'E Balans VL '!N10)/100/3.6*1000000</f>
        <v>14.726040311909109</v>
      </c>
      <c r="G9" s="35"/>
      <c r="H9" s="34"/>
      <c r="I9" s="34"/>
      <c r="J9" s="34">
        <f>$C$29*('E Balans VL '!D10+'E Balans VL '!E10)/100/3.6*1000000</f>
        <v>0</v>
      </c>
      <c r="K9" s="34"/>
      <c r="L9" s="34"/>
      <c r="M9" s="34"/>
      <c r="N9" s="34">
        <f>$C$29*'E Balans VL '!Y10/100/3.6*1000000</f>
        <v>0.36571629690147006</v>
      </c>
      <c r="O9" s="34"/>
      <c r="P9" s="34"/>
      <c r="R9" s="33"/>
    </row>
    <row r="10" spans="1:18">
      <c r="A10" s="33" t="s">
        <v>49</v>
      </c>
      <c r="B10" s="38">
        <f t="shared" si="0"/>
        <v>148.41213705156699</v>
      </c>
      <c r="C10" s="34"/>
      <c r="D10" s="38">
        <f>IF(ISERROR(TER_ander_gas_kWh/1000),0,TER_ander_gas_kWh/1000)*0.902</f>
        <v>0</v>
      </c>
      <c r="E10" s="34">
        <f>$C$30*'E Balans VL '!I14/100/3.6*1000000</f>
        <v>1.2105139332987109</v>
      </c>
      <c r="F10" s="34">
        <f>$C$30*('E Balans VL '!L14+'E Balans VL '!N14)/100/3.6*1000000</f>
        <v>43.259382511835497</v>
      </c>
      <c r="G10" s="35"/>
      <c r="H10" s="34"/>
      <c r="I10" s="34"/>
      <c r="J10" s="34">
        <f>$C$30*('E Balans VL '!D14+'E Balans VL '!E14)/100/3.6*1000000</f>
        <v>0</v>
      </c>
      <c r="K10" s="34"/>
      <c r="L10" s="34"/>
      <c r="M10" s="34"/>
      <c r="N10" s="34">
        <f>$C$30*'E Balans VL '!Y14/100/3.6*1000000</f>
        <v>70.489149417116352</v>
      </c>
      <c r="O10" s="34"/>
      <c r="P10" s="34"/>
      <c r="R10" s="33"/>
    </row>
    <row r="11" spans="1:18">
      <c r="A11" s="33" t="s">
        <v>54</v>
      </c>
      <c r="B11" s="38">
        <f t="shared" si="0"/>
        <v>33.086502419735602</v>
      </c>
      <c r="C11" s="34"/>
      <c r="D11" s="38">
        <f>IF(ISERROR(TER_onderwijs_gas_kWh/1000),0,TER_onderwijs_gas_kWh/1000)*0.902</f>
        <v>0</v>
      </c>
      <c r="E11" s="34">
        <f>$C$31*'E Balans VL '!I11/100/3.6*1000000</f>
        <v>2.7602955581461804E-2</v>
      </c>
      <c r="F11" s="34">
        <f>$C$31*('E Balans VL '!L11+'E Balans VL '!N11)/100/3.6*1000000</f>
        <v>17.314211887835288</v>
      </c>
      <c r="G11" s="35"/>
      <c r="H11" s="34"/>
      <c r="I11" s="34"/>
      <c r="J11" s="34">
        <f>$C$31*('E Balans VL '!D11+'E Balans VL '!E11)/100/3.6*1000000</f>
        <v>0</v>
      </c>
      <c r="K11" s="34"/>
      <c r="L11" s="34"/>
      <c r="M11" s="34"/>
      <c r="N11" s="34">
        <f>$C$31*'E Balans VL '!Y11/100/3.6*1000000</f>
        <v>0.14567268958537521</v>
      </c>
      <c r="O11" s="34"/>
      <c r="P11" s="34"/>
      <c r="R11" s="33"/>
    </row>
    <row r="12" spans="1:18">
      <c r="A12" s="33" t="s">
        <v>249</v>
      </c>
      <c r="B12" s="38">
        <f t="shared" si="0"/>
        <v>2492.4355576521402</v>
      </c>
      <c r="C12" s="34"/>
      <c r="D12" s="38">
        <f>IF(ISERROR(TER_rest_gas_kWh/1000),0,TER_rest_gas_kWh/1000)*0.902</f>
        <v>1776.8542554879818</v>
      </c>
      <c r="E12" s="34">
        <f>$C$32*'E Balans VL '!I8/100/3.6*1000000</f>
        <v>21.450430330770821</v>
      </c>
      <c r="F12" s="34">
        <f>$C$32*('E Balans VL '!L8+'E Balans VL '!N8)/100/3.6*1000000</f>
        <v>485.58637792206082</v>
      </c>
      <c r="G12" s="35"/>
      <c r="H12" s="34"/>
      <c r="I12" s="34"/>
      <c r="J12" s="34">
        <f>$C$32*('E Balans VL '!D8+'E Balans VL '!E8)/100/3.6*1000000</f>
        <v>0</v>
      </c>
      <c r="K12" s="34"/>
      <c r="L12" s="34"/>
      <c r="M12" s="34"/>
      <c r="N12" s="34">
        <f>$C$32*'E Balans VL '!Y8/100/3.6*1000000</f>
        <v>143.23264860345608</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4643.1406147133875</v>
      </c>
      <c r="C16" s="22">
        <f t="shared" ca="1" si="1"/>
        <v>0</v>
      </c>
      <c r="D16" s="22">
        <f t="shared" ca="1" si="1"/>
        <v>3045.5998257710226</v>
      </c>
      <c r="E16" s="22">
        <f t="shared" si="1"/>
        <v>60.19741514605429</v>
      </c>
      <c r="F16" s="22">
        <f t="shared" ca="1" si="1"/>
        <v>901.09991413014791</v>
      </c>
      <c r="G16" s="22">
        <f t="shared" si="1"/>
        <v>0</v>
      </c>
      <c r="H16" s="22">
        <f t="shared" si="1"/>
        <v>0</v>
      </c>
      <c r="I16" s="22">
        <f t="shared" si="1"/>
        <v>0</v>
      </c>
      <c r="J16" s="22">
        <f t="shared" si="1"/>
        <v>0</v>
      </c>
      <c r="K16" s="22">
        <f t="shared" si="1"/>
        <v>0</v>
      </c>
      <c r="L16" s="22">
        <f t="shared" ca="1" si="1"/>
        <v>0</v>
      </c>
      <c r="M16" s="22">
        <f t="shared" si="1"/>
        <v>0</v>
      </c>
      <c r="N16" s="22">
        <f t="shared" ca="1" si="1"/>
        <v>222.19293687877982</v>
      </c>
      <c r="O16" s="22">
        <f>O5</f>
        <v>6.2533333333333339</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0.19492809133564218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905.07853782908103</v>
      </c>
      <c r="C20" s="24">
        <f t="shared" ref="C20:P20" ca="1" si="2">C16*C18</f>
        <v>0</v>
      </c>
      <c r="D20" s="24">
        <f t="shared" ca="1" si="2"/>
        <v>615.21116480574665</v>
      </c>
      <c r="E20" s="24">
        <f t="shared" si="2"/>
        <v>13.664813238154323</v>
      </c>
      <c r="F20" s="24">
        <f t="shared" ca="1" si="2"/>
        <v>240.5936770727495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662.62438610501295</v>
      </c>
      <c r="C26" s="40">
        <f>IF(ISERROR(B26*3.6/1000000/'E Balans VL '!Z12*100),0,B26*3.6/1000000/'E Balans VL '!Z12*100)</f>
        <v>1.4044361203916276E-2</v>
      </c>
      <c r="D26" s="236" t="s">
        <v>660</v>
      </c>
      <c r="F26" s="6"/>
    </row>
    <row r="27" spans="1:18">
      <c r="A27" s="231" t="s">
        <v>52</v>
      </c>
      <c r="B27" s="34">
        <f>IF(ISERROR(TER_horeca_ele_kWh/1000),0,TER_horeca_ele_kWh/1000)</f>
        <v>640.43515154561396</v>
      </c>
      <c r="C27" s="40">
        <f>IF(ISERROR(B27*3.6/1000000/'E Balans VL '!Z9*100),0,B27*3.6/1000000/'E Balans VL '!Z9*100)</f>
        <v>5.0255871686303535E-2</v>
      </c>
      <c r="D27" s="236" t="s">
        <v>660</v>
      </c>
      <c r="F27" s="6"/>
    </row>
    <row r="28" spans="1:18">
      <c r="A28" s="171" t="s">
        <v>51</v>
      </c>
      <c r="B28" s="34">
        <f>IF(ISERROR(TER_handel_ele_kWh/1000),0,TER_handel_ele_kWh/1000)</f>
        <v>618.7681158044071</v>
      </c>
      <c r="C28" s="40">
        <f>IF(ISERROR(B28*3.6/1000000/'E Balans VL '!Z13*100),0,B28*3.6/1000000/'E Balans VL '!Z13*100)</f>
        <v>1.7279993685061348E-2</v>
      </c>
      <c r="D28" s="236" t="s">
        <v>660</v>
      </c>
      <c r="F28" s="6"/>
    </row>
    <row r="29" spans="1:18">
      <c r="A29" s="231" t="s">
        <v>50</v>
      </c>
      <c r="B29" s="34">
        <f>IF(ISERROR(TER_gezond_ele_kWh/1000),0,TER_gezond_ele_kWh/1000)</f>
        <v>47.378764134910298</v>
      </c>
      <c r="C29" s="40">
        <f>IF(ISERROR(B29*3.6/1000000/'E Balans VL '!Z10*100),0,B29*3.6/1000000/'E Balans VL '!Z10*100)</f>
        <v>5.4295745097962152E-3</v>
      </c>
      <c r="D29" s="236" t="s">
        <v>660</v>
      </c>
      <c r="F29" s="6"/>
    </row>
    <row r="30" spans="1:18">
      <c r="A30" s="231" t="s">
        <v>49</v>
      </c>
      <c r="B30" s="34">
        <f>IF(ISERROR(TER_ander_ele_kWh/1000),0,TER_ander_ele_kWh/1000)</f>
        <v>148.41213705156699</v>
      </c>
      <c r="C30" s="40">
        <f>IF(ISERROR(B30*3.6/1000000/'E Balans VL '!Z14*100),0,B30*3.6/1000000/'E Balans VL '!Z14*100)</f>
        <v>1.1066654121655226E-2</v>
      </c>
      <c r="D30" s="236" t="s">
        <v>660</v>
      </c>
      <c r="F30" s="6"/>
    </row>
    <row r="31" spans="1:18">
      <c r="A31" s="231" t="s">
        <v>54</v>
      </c>
      <c r="B31" s="34">
        <f>IF(ISERROR(TER_onderwijs_ele_kWh/1000),0,TER_onderwijs_ele_kWh/1000)</f>
        <v>33.086502419735602</v>
      </c>
      <c r="C31" s="40">
        <f>IF(ISERROR(B31*3.6/1000000/'E Balans VL '!Z11*100),0,B31*3.6/1000000/'E Balans VL '!Z11*100)</f>
        <v>9.4561953641918352E-3</v>
      </c>
      <c r="D31" s="236" t="s">
        <v>660</v>
      </c>
    </row>
    <row r="32" spans="1:18">
      <c r="A32" s="231" t="s">
        <v>249</v>
      </c>
      <c r="B32" s="34">
        <f>IF(ISERROR(TER_rest_ele_kWh/1000),0,TER_rest_ele_kWh/1000)</f>
        <v>2492.4355576521402</v>
      </c>
      <c r="C32" s="40">
        <f>IF(ISERROR(B32*3.6/1000000/'E Balans VL '!Z8*100),0,B32*3.6/1000000/'E Balans VL '!Z8*100)</f>
        <v>2.0536118820538612E-2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4</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2656.9107896367177</v>
      </c>
      <c r="C5" s="18">
        <f>IF(ISERROR('Eigen informatie GS &amp; warmtenet'!B59),0,'Eigen informatie GS &amp; warmtenet'!B59)</f>
        <v>0</v>
      </c>
      <c r="D5" s="31">
        <f>SUM(D6:D15)</f>
        <v>652.23183254052367</v>
      </c>
      <c r="E5" s="18">
        <f>SUM(E6:E15)</f>
        <v>23.47594104691634</v>
      </c>
      <c r="F5" s="18">
        <f>SUM(F6:F15)</f>
        <v>573.10195544332032</v>
      </c>
      <c r="G5" s="19"/>
      <c r="H5" s="18"/>
      <c r="I5" s="18"/>
      <c r="J5" s="18">
        <f>SUM(J6:J15)</f>
        <v>21.92943964696903</v>
      </c>
      <c r="K5" s="18"/>
      <c r="L5" s="18"/>
      <c r="M5" s="18"/>
      <c r="N5" s="18">
        <f>SUM(N6:N15)</f>
        <v>62.225051271536046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942.21615583304003</v>
      </c>
      <c r="C8" s="34"/>
      <c r="D8" s="38">
        <f>IF( ISERROR(IND_metaal_Gas_kWH/1000),0,IND_metaal_Gas_kWH/1000)*0.902</f>
        <v>0</v>
      </c>
      <c r="E8" s="34">
        <f>C30*'E Balans VL '!I18/100/3.6*1000000</f>
        <v>8.5805927321796673</v>
      </c>
      <c r="F8" s="34">
        <f>C30*'E Balans VL '!L18/100/3.6*1000000+C30*'E Balans VL '!N18/100/3.6*1000000</f>
        <v>124.27115564199424</v>
      </c>
      <c r="G8" s="35"/>
      <c r="H8" s="34"/>
      <c r="I8" s="34"/>
      <c r="J8" s="41">
        <f>C30*'E Balans VL '!D18/100/3.6*1000000+C30*'E Balans VL '!E18/100/3.6*1000000</f>
        <v>15.450976907065543</v>
      </c>
      <c r="K8" s="34"/>
      <c r="L8" s="34"/>
      <c r="M8" s="34"/>
      <c r="N8" s="34">
        <f>C30*'E Balans VL '!Y18/100/3.6*1000000</f>
        <v>3.2380226331903916</v>
      </c>
      <c r="O8" s="34"/>
      <c r="P8" s="34"/>
      <c r="R8" s="33"/>
    </row>
    <row r="9" spans="1:18">
      <c r="A9" s="6" t="s">
        <v>32</v>
      </c>
      <c r="B9" s="38">
        <f t="shared" si="0"/>
        <v>216.43592567499101</v>
      </c>
      <c r="C9" s="34"/>
      <c r="D9" s="38">
        <f>IF( ISERROR(IND_andere_gas_kWh/1000),0,IND_andere_gas_kWh/1000)*0.902</f>
        <v>0</v>
      </c>
      <c r="E9" s="34">
        <f>C31*'E Balans VL '!I19/100/3.6*1000000</f>
        <v>1.251031994075299</v>
      </c>
      <c r="F9" s="34">
        <f>C31*'E Balans VL '!L19/100/3.6*1000000+C31*'E Balans VL '!N19/100/3.6*1000000</f>
        <v>172.18519335908258</v>
      </c>
      <c r="G9" s="35"/>
      <c r="H9" s="34"/>
      <c r="I9" s="34"/>
      <c r="J9" s="41">
        <f>C31*'E Balans VL '!D19/100/3.6*1000000+C31*'E Balans VL '!E19/100/3.6*1000000</f>
        <v>2.0472434466685056E-2</v>
      </c>
      <c r="K9" s="34"/>
      <c r="L9" s="34"/>
      <c r="M9" s="34"/>
      <c r="N9" s="34">
        <f>C31*'E Balans VL '!Y19/100/3.6*1000000</f>
        <v>16.398296761243852</v>
      </c>
      <c r="O9" s="34"/>
      <c r="P9" s="34"/>
      <c r="R9" s="33"/>
    </row>
    <row r="10" spans="1:18">
      <c r="A10" s="6" t="s">
        <v>40</v>
      </c>
      <c r="B10" s="38">
        <f t="shared" si="0"/>
        <v>214.21798693923699</v>
      </c>
      <c r="C10" s="34"/>
      <c r="D10" s="38">
        <f>IF( ISERROR(IND_voed_gas_kWh/1000),0,IND_voed_gas_kWh/1000)*0.902</f>
        <v>270.47875959234244</v>
      </c>
      <c r="E10" s="34">
        <f>C32*'E Balans VL '!I20/100/3.6*1000000</f>
        <v>2.106323238280865</v>
      </c>
      <c r="F10" s="34">
        <f>C32*'E Balans VL '!L20/100/3.6*1000000+C32*'E Balans VL '!N20/100/3.6*1000000</f>
        <v>23.791703560808067</v>
      </c>
      <c r="G10" s="35"/>
      <c r="H10" s="34"/>
      <c r="I10" s="34"/>
      <c r="J10" s="41">
        <f>C32*'E Balans VL '!D20/100/3.6*1000000+C32*'E Balans VL '!E20/100/3.6*1000000</f>
        <v>8.4433033564190014E-4</v>
      </c>
      <c r="K10" s="34"/>
      <c r="L10" s="34"/>
      <c r="M10" s="34"/>
      <c r="N10" s="34">
        <f>C32*'E Balans VL '!Y20/100/3.6*1000000</f>
        <v>3.1720644927505166</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1284.0407211894501</v>
      </c>
      <c r="C15" s="34"/>
      <c r="D15" s="38">
        <f>IF( ISERROR(IND_rest_gas_kWh/1000),0,IND_rest_gas_kWh/1000)*0.902</f>
        <v>381.75307294818123</v>
      </c>
      <c r="E15" s="34">
        <f>C37*'E Balans VL '!I15/100/3.6*1000000</f>
        <v>11.53799308238051</v>
      </c>
      <c r="F15" s="34">
        <f>C37*'E Balans VL '!L15/100/3.6*1000000+C37*'E Balans VL '!N15/100/3.6*1000000</f>
        <v>252.85390288143549</v>
      </c>
      <c r="G15" s="35"/>
      <c r="H15" s="34"/>
      <c r="I15" s="34"/>
      <c r="J15" s="41">
        <f>C37*'E Balans VL '!D15/100/3.6*1000000+C37*'E Balans VL '!E15/100/3.6*1000000</f>
        <v>6.4571459751011613</v>
      </c>
      <c r="K15" s="34"/>
      <c r="L15" s="34"/>
      <c r="M15" s="34"/>
      <c r="N15" s="34">
        <f>C37*'E Balans VL '!Y15/100/3.6*1000000</f>
        <v>39.416667384351285</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2656.9107896367177</v>
      </c>
      <c r="C18" s="22">
        <f>C5+C16</f>
        <v>0</v>
      </c>
      <c r="D18" s="22">
        <f>MAX((D5+D16),0)</f>
        <v>652.23183254052367</v>
      </c>
      <c r="E18" s="22">
        <f>MAX((E5+E16),0)</f>
        <v>23.47594104691634</v>
      </c>
      <c r="F18" s="22">
        <f>MAX((F5+F16),0)</f>
        <v>573.10195544332032</v>
      </c>
      <c r="G18" s="22"/>
      <c r="H18" s="22"/>
      <c r="I18" s="22"/>
      <c r="J18" s="22">
        <f>MAX((J5+J16),0)</f>
        <v>21.92943964696903</v>
      </c>
      <c r="K18" s="22"/>
      <c r="L18" s="22">
        <f>MAX((L5+L16),0)</f>
        <v>0</v>
      </c>
      <c r="M18" s="22"/>
      <c r="N18" s="22">
        <f>MAX((N5+N16),0)</f>
        <v>62.225051271536046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0.19492809133564218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517.90654907295925</v>
      </c>
      <c r="C22" s="24">
        <f ca="1">C18*C20</f>
        <v>0</v>
      </c>
      <c r="D22" s="24">
        <f>D18*D20</f>
        <v>131.75083017318579</v>
      </c>
      <c r="E22" s="24">
        <f>E18*E20</f>
        <v>5.3290386176500091</v>
      </c>
      <c r="F22" s="24">
        <f>F18*F20</f>
        <v>153.01822210336653</v>
      </c>
      <c r="G22" s="24"/>
      <c r="H22" s="24"/>
      <c r="I22" s="24"/>
      <c r="J22" s="24">
        <f>J18*J20</f>
        <v>7.7630216350270365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942.21615583304003</v>
      </c>
      <c r="C30" s="40">
        <f>IF(ISERROR(B30*3.6/1000000/'E Balans VL '!Z18*100),0,B30*3.6/1000000/'E Balans VL '!Z18*100)</f>
        <v>5.242802852673166E-2</v>
      </c>
      <c r="D30" s="236" t="s">
        <v>660</v>
      </c>
    </row>
    <row r="31" spans="1:18">
      <c r="A31" s="6" t="s">
        <v>32</v>
      </c>
      <c r="B31" s="38">
        <f>IF( ISERROR(IND_ander_ele_kWh/1000),0,IND_ander_ele_kWh/1000)</f>
        <v>216.43592567499101</v>
      </c>
      <c r="C31" s="40">
        <f>IF(ISERROR(B31*3.6/1000000/'E Balans VL '!Z19*100),0,B31*3.6/1000000/'E Balans VL '!Z19*100)</f>
        <v>1.0061537758370815E-2</v>
      </c>
      <c r="D31" s="236" t="s">
        <v>660</v>
      </c>
    </row>
    <row r="32" spans="1:18">
      <c r="A32" s="171" t="s">
        <v>40</v>
      </c>
      <c r="B32" s="38">
        <f>IF( ISERROR(IND_voed_ele_kWh/1000),0,IND_voed_ele_kWh/1000)</f>
        <v>214.21798693923699</v>
      </c>
      <c r="C32" s="40">
        <f>IF(ISERROR(B32*3.6/1000000/'E Balans VL '!Z20*100),0,B32*3.6/1000000/'E Balans VL '!Z20*100)</f>
        <v>7.5721732067552689E-3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1284.0407211894501</v>
      </c>
      <c r="C37" s="40">
        <f>IF(ISERROR(B37*3.6/1000000/'E Balans VL '!Z15*100),0,B37*3.6/1000000/'E Balans VL '!Z15*100)</f>
        <v>9.6964042599523622E-3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5898.554777811748</v>
      </c>
      <c r="C5" s="18">
        <f>'Eigen informatie GS &amp; warmtenet'!B60</f>
        <v>0</v>
      </c>
      <c r="D5" s="31">
        <f>IF(ISERROR(SUM(LB_lb_gas_kWh,LB_rest_gas_kWh)/1000),0,SUM(LB_lb_gas_kWh,LB_rest_gas_kWh)/1000)*0.902</f>
        <v>348.20047189221953</v>
      </c>
      <c r="E5" s="18">
        <f>B17*'E Balans VL '!I25/3.6*1000000/100</f>
        <v>58.249302017445558</v>
      </c>
      <c r="F5" s="18">
        <f>B17*('E Balans VL '!L25/3.6*1000000+'E Balans VL '!N25/3.6*1000000)/100</f>
        <v>19679.139484394585</v>
      </c>
      <c r="G5" s="19"/>
      <c r="H5" s="18"/>
      <c r="I5" s="18"/>
      <c r="J5" s="18">
        <f>('E Balans VL '!D25+'E Balans VL '!E25)/3.6*1000000*landbouw!B17/100</f>
        <v>588.49673298544451</v>
      </c>
      <c r="K5" s="18"/>
      <c r="L5" s="18">
        <f>L6*(-1)</f>
        <v>61.875</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-61.875</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5898.554777811748</v>
      </c>
      <c r="C8" s="22">
        <f>C5+C6</f>
        <v>0</v>
      </c>
      <c r="D8" s="22">
        <f>MAX((D5+D6),0)</f>
        <v>348.20047189221953</v>
      </c>
      <c r="E8" s="22">
        <f>MAX((E5+E6),0)</f>
        <v>58.249302017445558</v>
      </c>
      <c r="F8" s="22">
        <f>MAX((F5+F6),0)</f>
        <v>19679.139484394585</v>
      </c>
      <c r="G8" s="22"/>
      <c r="H8" s="22"/>
      <c r="I8" s="22"/>
      <c r="J8" s="22">
        <f>MAX((J5+J6),0)</f>
        <v>588.49673298544451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0.19492809133564218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1149.7940244775771</v>
      </c>
      <c r="C12" s="24">
        <f ca="1">C8*C10</f>
        <v>0</v>
      </c>
      <c r="D12" s="24">
        <f>D8*D10</f>
        <v>70.336495322228345</v>
      </c>
      <c r="E12" s="24">
        <f>E8*E10</f>
        <v>13.222591557960142</v>
      </c>
      <c r="F12" s="24">
        <f>F8*F10</f>
        <v>5254.3302423333544</v>
      </c>
      <c r="G12" s="24"/>
      <c r="H12" s="24"/>
      <c r="I12" s="24"/>
      <c r="J12" s="24">
        <f>J8*J10</f>
        <v>208.32784347684733</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0.79857006102343653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812.47152531827328</v>
      </c>
      <c r="C26" s="246">
        <f>B26*'GWP N2O_CH4'!B5</f>
        <v>17061.902031683738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608.5246299638103</v>
      </c>
      <c r="C27" s="246">
        <f>B27*'GWP N2O_CH4'!B5</f>
        <v>12779.017229240017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13.687851430691689</v>
      </c>
      <c r="C28" s="246">
        <f>B28*'GWP N2O_CH4'!B4</f>
        <v>4243.2339435144231</v>
      </c>
      <c r="D28" s="51"/>
    </row>
    <row r="29" spans="1:4">
      <c r="A29" s="42" t="s">
        <v>266</v>
      </c>
      <c r="B29" s="246">
        <f>B34*'ha_N2O bodem landbouw'!B4</f>
        <v>38.800591748878183</v>
      </c>
      <c r="C29" s="246">
        <f>B29*'GWP N2O_CH4'!B4</f>
        <v>12028.183442152236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1.0474938319215369E-2</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5.4365710174337393E-6</v>
      </c>
      <c r="C5" s="433" t="s">
        <v>204</v>
      </c>
      <c r="D5" s="418">
        <f>SUM(D6:D11)</f>
        <v>6.9428488937208573E-6</v>
      </c>
      <c r="E5" s="418">
        <f>SUM(E6:E11)</f>
        <v>4.4141392838728207E-4</v>
      </c>
      <c r="F5" s="431" t="s">
        <v>204</v>
      </c>
      <c r="G5" s="418">
        <f>SUM(G6:G11)</f>
        <v>0.10212040427405933</v>
      </c>
      <c r="H5" s="418">
        <f>SUM(H6:H11)</f>
        <v>1.7638720495176743E-2</v>
      </c>
      <c r="I5" s="433" t="s">
        <v>204</v>
      </c>
      <c r="J5" s="433" t="s">
        <v>204</v>
      </c>
      <c r="K5" s="433" t="s">
        <v>204</v>
      </c>
      <c r="L5" s="433" t="s">
        <v>204</v>
      </c>
      <c r="M5" s="418">
        <f>SUM(M6:M11)</f>
        <v>5.3518641503485041E-3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4.0529742125232165E-6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4.7007127649886262E-6</v>
      </c>
      <c r="E6" s="421">
        <f>vkm_GW_PW*SUMIFS(TableVerdeelsleutelVkm[LPG],TableVerdeelsleutelVkm[Voertuigtype],"Lichte voertuigen")*SUMIFS(TableECFTransport[EnergieConsumptieFactor (PJ per km)],TableECFTransport[Index],CONCATENATE($A6,"_LPG_LPG"))</f>
        <v>3.0425986182133801E-4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4.7973183329904974E-2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1.2130657273603223E-2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2.6902519232420755E-3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1.7524194868596383E-7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2.8988685481669288E-2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9.0343144370500736E-7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1.2899076890283958E-3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1.1861469071456401E-6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2.242136128732231E-6</v>
      </c>
      <c r="E8" s="421">
        <f>vkm_NGW_PW*SUMIFS(TableVerdeelsleutelVkm[LPG],TableVerdeelsleutelVkm[Voertuigtype],"Lichte voertuigen")*SUMIFS(TableECFTransport[EnergieConsumptieFactor (PJ per km)],TableECFTransport[Index],CONCATENATE($A8,"_LPG_LPG"))</f>
        <v>1.3715406656594409E-4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2.044763501990482E-2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5.5070215984082127E-3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1.1620842965411743E-3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2.2207949078919522E-8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4.7109004425802438E-3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1.3819172160083744E-7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2.0962024153685921E-4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1.5101586159538165</v>
      </c>
      <c r="C14" s="22"/>
      <c r="D14" s="22">
        <f t="shared" ref="D14:M14" si="0">((D5)*10^9/3600)+D12</f>
        <v>1.9285691371446827</v>
      </c>
      <c r="E14" s="22">
        <f t="shared" si="0"/>
        <v>122.61498010757835</v>
      </c>
      <c r="F14" s="22"/>
      <c r="G14" s="22">
        <f t="shared" si="0"/>
        <v>28366.778965016478</v>
      </c>
      <c r="H14" s="22">
        <f t="shared" si="0"/>
        <v>4899.6445819935398</v>
      </c>
      <c r="I14" s="22"/>
      <c r="J14" s="22"/>
      <c r="K14" s="22"/>
      <c r="L14" s="22"/>
      <c r="M14" s="22">
        <f t="shared" si="0"/>
        <v>1486.6289306523622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0.19492809133564218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0.2943723366219525</v>
      </c>
      <c r="C18" s="24"/>
      <c r="D18" s="24">
        <f t="shared" ref="D18:M18" si="1">D14*D16</f>
        <v>0.38957096570322591</v>
      </c>
      <c r="E18" s="24">
        <f t="shared" si="1"/>
        <v>27.833600484420284</v>
      </c>
      <c r="F18" s="24"/>
      <c r="G18" s="24">
        <f t="shared" si="1"/>
        <v>7573.9299836594</v>
      </c>
      <c r="H18" s="24">
        <f t="shared" si="1"/>
        <v>1220.0115009163915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4.6989077516240768E-6</v>
      </c>
      <c r="C50" s="316">
        <f t="shared" ref="C50:P50" si="2">SUM(C51:C52)</f>
        <v>0</v>
      </c>
      <c r="D50" s="316">
        <f t="shared" si="2"/>
        <v>0</v>
      </c>
      <c r="E50" s="316">
        <f t="shared" si="2"/>
        <v>0</v>
      </c>
      <c r="F50" s="316">
        <f t="shared" si="2"/>
        <v>0</v>
      </c>
      <c r="G50" s="316">
        <f t="shared" si="2"/>
        <v>9.3720644122380749E-4</v>
      </c>
      <c r="H50" s="316">
        <f t="shared" si="2"/>
        <v>0</v>
      </c>
      <c r="I50" s="316">
        <f t="shared" si="2"/>
        <v>0</v>
      </c>
      <c r="J50" s="316">
        <f t="shared" si="2"/>
        <v>0</v>
      </c>
      <c r="K50" s="316">
        <f t="shared" si="2"/>
        <v>0</v>
      </c>
      <c r="L50" s="316">
        <f t="shared" si="2"/>
        <v>0</v>
      </c>
      <c r="M50" s="316">
        <f t="shared" si="2"/>
        <v>4.1423526537002312E-5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4.6989077516240768E-6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9.3720644122380749E-4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4.1423526537002312E-5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1.3052521532289103</v>
      </c>
      <c r="C54" s="22">
        <f t="shared" ref="C54:P54" si="3">(C50)*10^9/3600</f>
        <v>0</v>
      </c>
      <c r="D54" s="22">
        <f t="shared" si="3"/>
        <v>0</v>
      </c>
      <c r="E54" s="22">
        <f t="shared" si="3"/>
        <v>0</v>
      </c>
      <c r="F54" s="22">
        <f t="shared" si="3"/>
        <v>0</v>
      </c>
      <c r="G54" s="22">
        <f t="shared" si="3"/>
        <v>260.33512256216875</v>
      </c>
      <c r="H54" s="22">
        <f t="shared" si="3"/>
        <v>0</v>
      </c>
      <c r="I54" s="22">
        <f t="shared" si="3"/>
        <v>0</v>
      </c>
      <c r="J54" s="22">
        <f t="shared" si="3"/>
        <v>0</v>
      </c>
      <c r="K54" s="22">
        <f t="shared" si="3"/>
        <v>0</v>
      </c>
      <c r="L54" s="22">
        <f t="shared" si="3"/>
        <v>0</v>
      </c>
      <c r="M54" s="22">
        <f t="shared" si="3"/>
        <v>11.506535149167309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0.19492809133564218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0.25443031094064866</v>
      </c>
      <c r="C58" s="24">
        <f t="shared" ref="C58:P58" ca="1" si="4">C54*C56</f>
        <v>0</v>
      </c>
      <c r="D58" s="24">
        <f t="shared" si="4"/>
        <v>0</v>
      </c>
      <c r="E58" s="24">
        <f t="shared" si="4"/>
        <v>0</v>
      </c>
      <c r="F58" s="24">
        <f t="shared" si="4"/>
        <v>0</v>
      </c>
      <c r="G58" s="24">
        <f t="shared" si="4"/>
        <v>69.509477724099057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2613.7742993926286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24.75</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61.875</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2638.5242993926286</v>
      </c>
      <c r="C10" s="556">
        <f t="shared" ref="C10:L10" si="0">SUM(C8:C9)</f>
        <v>0</v>
      </c>
      <c r="D10" s="556">
        <f t="shared" si="0"/>
        <v>0</v>
      </c>
      <c r="E10" s="556">
        <f t="shared" si="0"/>
        <v>0</v>
      </c>
      <c r="F10" s="556">
        <f t="shared" si="0"/>
        <v>0</v>
      </c>
      <c r="G10" s="556">
        <f t="shared" si="0"/>
        <v>0</v>
      </c>
      <c r="H10" s="556">
        <f t="shared" si="0"/>
        <v>0</v>
      </c>
      <c r="I10" s="556">
        <f t="shared" si="0"/>
        <v>61.875</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38.25" hidden="1">
      <c r="A35" s="582"/>
      <c r="B35" s="740">
        <v>38002</v>
      </c>
      <c r="C35" s="740">
        <v>8690</v>
      </c>
      <c r="D35" s="630"/>
      <c r="E35" s="630"/>
      <c r="F35" s="630"/>
      <c r="G35" s="630" t="s">
        <v>942</v>
      </c>
      <c r="H35" s="630" t="s">
        <v>943</v>
      </c>
      <c r="I35" s="630"/>
      <c r="J35" s="739"/>
      <c r="K35" s="739"/>
      <c r="L35" s="630" t="s">
        <v>944</v>
      </c>
      <c r="M35" s="630">
        <v>5.5</v>
      </c>
      <c r="N35" s="630">
        <v>24.75</v>
      </c>
      <c r="O35" s="630">
        <v>0</v>
      </c>
      <c r="P35" s="630">
        <v>0</v>
      </c>
      <c r="Q35" s="630">
        <v>0</v>
      </c>
      <c r="R35" s="630">
        <v>0</v>
      </c>
      <c r="S35" s="630">
        <v>0</v>
      </c>
      <c r="T35" s="630">
        <v>0</v>
      </c>
      <c r="U35" s="630">
        <v>61.875</v>
      </c>
      <c r="V35" s="630">
        <v>0</v>
      </c>
      <c r="W35" s="630"/>
      <c r="X35" s="630"/>
      <c r="Y35" s="630">
        <v>10</v>
      </c>
      <c r="Z35" s="630" t="s">
        <v>105</v>
      </c>
      <c r="AA35" s="631" t="s">
        <v>105</v>
      </c>
    </row>
    <row r="36" spans="1:28" s="563" customFormat="1" hidden="1">
      <c r="A36" s="583" t="s">
        <v>269</v>
      </c>
      <c r="B36" s="584"/>
      <c r="C36" s="584"/>
      <c r="D36" s="584"/>
      <c r="E36" s="584"/>
      <c r="F36" s="584"/>
      <c r="G36" s="584"/>
      <c r="H36" s="584"/>
      <c r="I36" s="584"/>
      <c r="J36" s="584"/>
      <c r="K36" s="584"/>
      <c r="L36" s="585"/>
      <c r="M36" s="585">
        <f>SUM(M35:M35)</f>
        <v>5.5</v>
      </c>
      <c r="N36" s="585">
        <f>SUM(N35:N35)</f>
        <v>24.75</v>
      </c>
      <c r="O36" s="585">
        <f>SUM(O35:O35)</f>
        <v>0</v>
      </c>
      <c r="P36" s="585">
        <f>SUM(P35:P35)</f>
        <v>0</v>
      </c>
      <c r="Q36" s="585">
        <f>SUM(Q35:Q35)</f>
        <v>0</v>
      </c>
      <c r="R36" s="585">
        <f>SUM(R35:R35)</f>
        <v>0</v>
      </c>
      <c r="S36" s="585">
        <f>SUM(S35:S35)</f>
        <v>0</v>
      </c>
      <c r="T36" s="585">
        <f>SUM(T35:T35)</f>
        <v>0</v>
      </c>
      <c r="U36" s="585">
        <f>SUM(U35:U35)</f>
        <v>61.875</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5.5</v>
      </c>
      <c r="N39" s="590">
        <f>SUMIF($AA$35:$AA$37,"landbouw",N35:N37)</f>
        <v>24.75</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61.875</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5021.2726147133872</v>
      </c>
      <c r="D10" s="639">
        <f ca="1">tertiair!C16</f>
        <v>0</v>
      </c>
      <c r="E10" s="639">
        <f ca="1">tertiair!D16</f>
        <v>3045.5998257710226</v>
      </c>
      <c r="F10" s="639">
        <f>tertiair!E16</f>
        <v>60.19741514605429</v>
      </c>
      <c r="G10" s="639">
        <f ca="1">tertiair!F16</f>
        <v>901.09991413014791</v>
      </c>
      <c r="H10" s="639">
        <f>tertiair!G16</f>
        <v>0</v>
      </c>
      <c r="I10" s="639">
        <f>tertiair!H16</f>
        <v>0</v>
      </c>
      <c r="J10" s="639">
        <f>tertiair!I16</f>
        <v>0</v>
      </c>
      <c r="K10" s="639">
        <f>tertiair!J16</f>
        <v>0</v>
      </c>
      <c r="L10" s="639">
        <f>tertiair!K16</f>
        <v>0</v>
      </c>
      <c r="M10" s="639">
        <f ca="1">tertiair!L16</f>
        <v>0</v>
      </c>
      <c r="N10" s="639">
        <f>tertiair!M16</f>
        <v>0</v>
      </c>
      <c r="O10" s="639">
        <f ca="1">tertiair!N16</f>
        <v>222.19293687877982</v>
      </c>
      <c r="P10" s="639">
        <f>tertiair!O16</f>
        <v>6.2533333333333339</v>
      </c>
      <c r="Q10" s="640">
        <f>tertiair!P16</f>
        <v>19.066666666666666</v>
      </c>
      <c r="R10" s="642">
        <f ca="1">SUM(C10:Q10)</f>
        <v>9275.6827066393944</v>
      </c>
      <c r="S10" s="68"/>
    </row>
    <row r="11" spans="1:19" s="443" customFormat="1">
      <c r="A11" s="753" t="s">
        <v>214</v>
      </c>
      <c r="B11" s="758"/>
      <c r="C11" s="639">
        <f>huishoudens!B8</f>
        <v>8435.0676044605098</v>
      </c>
      <c r="D11" s="639">
        <f>huishoudens!C8</f>
        <v>0</v>
      </c>
      <c r="E11" s="639">
        <f>huishoudens!D8</f>
        <v>12854.856861021824</v>
      </c>
      <c r="F11" s="639">
        <f>huishoudens!E8</f>
        <v>616.10968538177588</v>
      </c>
      <c r="G11" s="639">
        <f>huishoudens!F8</f>
        <v>18783.395558590459</v>
      </c>
      <c r="H11" s="639">
        <f>huishoudens!G8</f>
        <v>0</v>
      </c>
      <c r="I11" s="639">
        <f>huishoudens!H8</f>
        <v>0</v>
      </c>
      <c r="J11" s="639">
        <f>huishoudens!I8</f>
        <v>0</v>
      </c>
      <c r="K11" s="639">
        <f>huishoudens!J8</f>
        <v>340.8181674146939</v>
      </c>
      <c r="L11" s="639">
        <f>huishoudens!K8</f>
        <v>0</v>
      </c>
      <c r="M11" s="639">
        <f>huishoudens!L8</f>
        <v>0</v>
      </c>
      <c r="N11" s="639">
        <f>huishoudens!M8</f>
        <v>0</v>
      </c>
      <c r="O11" s="639">
        <f>huishoudens!N8</f>
        <v>2990.2744174826576</v>
      </c>
      <c r="P11" s="639">
        <f>huishoudens!O8</f>
        <v>57.843333333333334</v>
      </c>
      <c r="Q11" s="640">
        <f>huishoudens!P8</f>
        <v>209.73333333333335</v>
      </c>
      <c r="R11" s="642">
        <f>SUM(C11:Q11)</f>
        <v>44288.098961018579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2656.9107896367177</v>
      </c>
      <c r="D13" s="639">
        <f>industrie!C18</f>
        <v>0</v>
      </c>
      <c r="E13" s="639">
        <f>industrie!D18</f>
        <v>652.23183254052367</v>
      </c>
      <c r="F13" s="639">
        <f>industrie!E18</f>
        <v>23.47594104691634</v>
      </c>
      <c r="G13" s="639">
        <f>industrie!F18</f>
        <v>573.10195544332032</v>
      </c>
      <c r="H13" s="639">
        <f>industrie!G18</f>
        <v>0</v>
      </c>
      <c r="I13" s="639">
        <f>industrie!H18</f>
        <v>0</v>
      </c>
      <c r="J13" s="639">
        <f>industrie!I18</f>
        <v>0</v>
      </c>
      <c r="K13" s="639">
        <f>industrie!J18</f>
        <v>21.92943964696903</v>
      </c>
      <c r="L13" s="639">
        <f>industrie!K18</f>
        <v>0</v>
      </c>
      <c r="M13" s="639">
        <f>industrie!L18</f>
        <v>0</v>
      </c>
      <c r="N13" s="639">
        <f>industrie!M18</f>
        <v>0</v>
      </c>
      <c r="O13" s="639">
        <f>industrie!N18</f>
        <v>62.225051271536046</v>
      </c>
      <c r="P13" s="639">
        <f>industrie!O18</f>
        <v>0</v>
      </c>
      <c r="Q13" s="640">
        <f>industrie!P18</f>
        <v>0</v>
      </c>
      <c r="R13" s="642">
        <f>SUM(C13:Q13)</f>
        <v>3989.8750095859832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16113.251008810614</v>
      </c>
      <c r="D16" s="672">
        <f t="shared" ref="D16:R16" ca="1" si="0">SUM(D9:D15)</f>
        <v>0</v>
      </c>
      <c r="E16" s="672">
        <f t="shared" ca="1" si="0"/>
        <v>16552.688519333373</v>
      </c>
      <c r="F16" s="672">
        <f t="shared" si="0"/>
        <v>699.78304157474645</v>
      </c>
      <c r="G16" s="672">
        <f t="shared" ca="1" si="0"/>
        <v>20257.597428163925</v>
      </c>
      <c r="H16" s="672">
        <f t="shared" si="0"/>
        <v>0</v>
      </c>
      <c r="I16" s="672">
        <f t="shared" si="0"/>
        <v>0</v>
      </c>
      <c r="J16" s="672">
        <f t="shared" si="0"/>
        <v>0</v>
      </c>
      <c r="K16" s="672">
        <f t="shared" si="0"/>
        <v>362.74760706166296</v>
      </c>
      <c r="L16" s="672">
        <f t="shared" si="0"/>
        <v>0</v>
      </c>
      <c r="M16" s="672">
        <f t="shared" ca="1" si="0"/>
        <v>0</v>
      </c>
      <c r="N16" s="672">
        <f t="shared" si="0"/>
        <v>0</v>
      </c>
      <c r="O16" s="672">
        <f t="shared" ca="1" si="0"/>
        <v>3274.6924056329731</v>
      </c>
      <c r="P16" s="672">
        <f t="shared" si="0"/>
        <v>64.096666666666664</v>
      </c>
      <c r="Q16" s="672">
        <f t="shared" si="0"/>
        <v>228.8</v>
      </c>
      <c r="R16" s="672">
        <f t="shared" ca="1" si="0"/>
        <v>57553.656677243955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1.3052521532289103</v>
      </c>
      <c r="D19" s="639">
        <f>transport!C54</f>
        <v>0</v>
      </c>
      <c r="E19" s="639">
        <f>transport!D54</f>
        <v>0</v>
      </c>
      <c r="F19" s="639">
        <f>transport!E54</f>
        <v>0</v>
      </c>
      <c r="G19" s="639">
        <f>transport!F54</f>
        <v>0</v>
      </c>
      <c r="H19" s="639">
        <f>transport!G54</f>
        <v>260.33512256216875</v>
      </c>
      <c r="I19" s="639">
        <f>transport!H54</f>
        <v>0</v>
      </c>
      <c r="J19" s="639">
        <f>transport!I54</f>
        <v>0</v>
      </c>
      <c r="K19" s="639">
        <f>transport!J54</f>
        <v>0</v>
      </c>
      <c r="L19" s="639">
        <f>transport!K54</f>
        <v>0</v>
      </c>
      <c r="M19" s="639">
        <f>transport!L54</f>
        <v>0</v>
      </c>
      <c r="N19" s="639">
        <f>transport!M54</f>
        <v>11.506535149167309</v>
      </c>
      <c r="O19" s="639">
        <f>transport!N54</f>
        <v>0</v>
      </c>
      <c r="P19" s="639">
        <f>transport!O54</f>
        <v>0</v>
      </c>
      <c r="Q19" s="640">
        <f>transport!P54</f>
        <v>0</v>
      </c>
      <c r="R19" s="642">
        <f>SUM(C19:Q19)</f>
        <v>273.14690986456498</v>
      </c>
      <c r="S19" s="68"/>
    </row>
    <row r="20" spans="1:19" s="443" customFormat="1">
      <c r="A20" s="753" t="s">
        <v>296</v>
      </c>
      <c r="B20" s="758"/>
      <c r="C20" s="639">
        <f>transport!B14</f>
        <v>1.5101586159538165</v>
      </c>
      <c r="D20" s="639">
        <f>transport!C14</f>
        <v>0</v>
      </c>
      <c r="E20" s="639">
        <f>transport!D14</f>
        <v>1.9285691371446827</v>
      </c>
      <c r="F20" s="639">
        <f>transport!E14</f>
        <v>122.61498010757835</v>
      </c>
      <c r="G20" s="639">
        <f>transport!F14</f>
        <v>0</v>
      </c>
      <c r="H20" s="639">
        <f>transport!G14</f>
        <v>28366.778965016478</v>
      </c>
      <c r="I20" s="639">
        <f>transport!H14</f>
        <v>4899.6445819935398</v>
      </c>
      <c r="J20" s="639">
        <f>transport!I14</f>
        <v>0</v>
      </c>
      <c r="K20" s="639">
        <f>transport!J14</f>
        <v>0</v>
      </c>
      <c r="L20" s="639">
        <f>transport!K14</f>
        <v>0</v>
      </c>
      <c r="M20" s="639">
        <f>transport!L14</f>
        <v>0</v>
      </c>
      <c r="N20" s="639">
        <f>transport!M14</f>
        <v>1486.6289306523622</v>
      </c>
      <c r="O20" s="639">
        <f>transport!N14</f>
        <v>0</v>
      </c>
      <c r="P20" s="639">
        <f>transport!O14</f>
        <v>0</v>
      </c>
      <c r="Q20" s="640">
        <f>transport!P14</f>
        <v>0</v>
      </c>
      <c r="R20" s="642">
        <f>SUM(C20:Q20)</f>
        <v>34879.106185523058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2.8154107691827268</v>
      </c>
      <c r="D22" s="756">
        <f t="shared" ref="D22:R22" si="1">SUM(D18:D21)</f>
        <v>0</v>
      </c>
      <c r="E22" s="756">
        <f t="shared" si="1"/>
        <v>1.9285691371446827</v>
      </c>
      <c r="F22" s="756">
        <f t="shared" si="1"/>
        <v>122.61498010757835</v>
      </c>
      <c r="G22" s="756">
        <f t="shared" si="1"/>
        <v>0</v>
      </c>
      <c r="H22" s="756">
        <f t="shared" si="1"/>
        <v>28627.114087578648</v>
      </c>
      <c r="I22" s="756">
        <f t="shared" si="1"/>
        <v>4899.6445819935398</v>
      </c>
      <c r="J22" s="756">
        <f t="shared" si="1"/>
        <v>0</v>
      </c>
      <c r="K22" s="756">
        <f t="shared" si="1"/>
        <v>0</v>
      </c>
      <c r="L22" s="756">
        <f t="shared" si="1"/>
        <v>0</v>
      </c>
      <c r="M22" s="756">
        <f t="shared" si="1"/>
        <v>0</v>
      </c>
      <c r="N22" s="756">
        <f t="shared" si="1"/>
        <v>1498.1354658015296</v>
      </c>
      <c r="O22" s="756">
        <f t="shared" si="1"/>
        <v>0</v>
      </c>
      <c r="P22" s="756">
        <f t="shared" si="1"/>
        <v>0</v>
      </c>
      <c r="Q22" s="756">
        <f t="shared" si="1"/>
        <v>0</v>
      </c>
      <c r="R22" s="756">
        <f t="shared" si="1"/>
        <v>35152.253095387627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5898.554777811748</v>
      </c>
      <c r="D24" s="639">
        <f>+landbouw!C8</f>
        <v>0</v>
      </c>
      <c r="E24" s="639">
        <f>+landbouw!D8</f>
        <v>348.20047189221953</v>
      </c>
      <c r="F24" s="639">
        <f>+landbouw!E8</f>
        <v>58.249302017445558</v>
      </c>
      <c r="G24" s="639">
        <f>+landbouw!F8</f>
        <v>19679.139484394585</v>
      </c>
      <c r="H24" s="639">
        <f>+landbouw!G8</f>
        <v>0</v>
      </c>
      <c r="I24" s="639">
        <f>+landbouw!H8</f>
        <v>0</v>
      </c>
      <c r="J24" s="639">
        <f>+landbouw!I8</f>
        <v>0</v>
      </c>
      <c r="K24" s="639">
        <f>+landbouw!J8</f>
        <v>588.49673298544451</v>
      </c>
      <c r="L24" s="639">
        <f>+landbouw!K8</f>
        <v>0</v>
      </c>
      <c r="M24" s="639">
        <f>+landbouw!L8</f>
        <v>0</v>
      </c>
      <c r="N24" s="639">
        <f>+landbouw!M8</f>
        <v>0</v>
      </c>
      <c r="O24" s="639">
        <f>+landbouw!N8</f>
        <v>0</v>
      </c>
      <c r="P24" s="639">
        <f>+landbouw!O8</f>
        <v>0</v>
      </c>
      <c r="Q24" s="640">
        <f>+landbouw!P8</f>
        <v>0</v>
      </c>
      <c r="R24" s="642">
        <f>SUM(C24:Q24)</f>
        <v>26572.640769101443</v>
      </c>
      <c r="S24" s="68"/>
    </row>
    <row r="25" spans="1:19" s="443" customFormat="1" ht="15" thickBot="1">
      <c r="A25" s="775" t="s">
        <v>847</v>
      </c>
      <c r="B25" s="941"/>
      <c r="C25" s="942">
        <f>IF(Onbekend_ele_kWh="---",0,Onbekend_ele_kWh)/1000+IF(REST_rest_ele_kWh="---",0,REST_rest_ele_kWh)/1000</f>
        <v>350.97840916621203</v>
      </c>
      <c r="D25" s="942"/>
      <c r="E25" s="942">
        <f>IF(onbekend_gas_kWh="---",0,onbekend_gas_kWh)/1000+IF(REST_rest_gas_kWh="---",0,REST_rest_gas_kWh)/1000</f>
        <v>472.84794587598503</v>
      </c>
      <c r="F25" s="942"/>
      <c r="G25" s="942"/>
      <c r="H25" s="942"/>
      <c r="I25" s="942"/>
      <c r="J25" s="942"/>
      <c r="K25" s="942"/>
      <c r="L25" s="942"/>
      <c r="M25" s="942"/>
      <c r="N25" s="942"/>
      <c r="O25" s="942"/>
      <c r="P25" s="942"/>
      <c r="Q25" s="943"/>
      <c r="R25" s="642">
        <f>SUM(C25:Q25)</f>
        <v>823.82635504219706</v>
      </c>
      <c r="S25" s="68"/>
    </row>
    <row r="26" spans="1:19" s="443" customFormat="1" ht="15.75" thickBot="1">
      <c r="A26" s="645" t="s">
        <v>848</v>
      </c>
      <c r="B26" s="761"/>
      <c r="C26" s="756">
        <f>SUM(C24:C25)</f>
        <v>6249.5331869779602</v>
      </c>
      <c r="D26" s="756">
        <f t="shared" ref="D26:R26" si="2">SUM(D24:D25)</f>
        <v>0</v>
      </c>
      <c r="E26" s="756">
        <f t="shared" si="2"/>
        <v>821.04841776820456</v>
      </c>
      <c r="F26" s="756">
        <f t="shared" si="2"/>
        <v>58.249302017445558</v>
      </c>
      <c r="G26" s="756">
        <f t="shared" si="2"/>
        <v>19679.139484394585</v>
      </c>
      <c r="H26" s="756">
        <f t="shared" si="2"/>
        <v>0</v>
      </c>
      <c r="I26" s="756">
        <f t="shared" si="2"/>
        <v>0</v>
      </c>
      <c r="J26" s="756">
        <f t="shared" si="2"/>
        <v>0</v>
      </c>
      <c r="K26" s="756">
        <f t="shared" si="2"/>
        <v>588.49673298544451</v>
      </c>
      <c r="L26" s="756">
        <f t="shared" si="2"/>
        <v>0</v>
      </c>
      <c r="M26" s="756">
        <f t="shared" si="2"/>
        <v>0</v>
      </c>
      <c r="N26" s="756">
        <f t="shared" si="2"/>
        <v>0</v>
      </c>
      <c r="O26" s="756">
        <f t="shared" si="2"/>
        <v>0</v>
      </c>
      <c r="P26" s="756">
        <f t="shared" si="2"/>
        <v>0</v>
      </c>
      <c r="Q26" s="756">
        <f t="shared" si="2"/>
        <v>0</v>
      </c>
      <c r="R26" s="756">
        <f t="shared" si="2"/>
        <v>27396.467124143641</v>
      </c>
      <c r="S26" s="68"/>
    </row>
    <row r="27" spans="1:19" s="443" customFormat="1" ht="17.25" thickTop="1" thickBot="1">
      <c r="A27" s="646" t="s">
        <v>109</v>
      </c>
      <c r="B27" s="748"/>
      <c r="C27" s="647">
        <f ca="1">C22+C16+C26</f>
        <v>22365.599606557756</v>
      </c>
      <c r="D27" s="647">
        <f t="shared" ref="D27:R27" ca="1" si="3">D22+D16+D26</f>
        <v>0</v>
      </c>
      <c r="E27" s="647">
        <f t="shared" ca="1" si="3"/>
        <v>17375.665506238722</v>
      </c>
      <c r="F27" s="647">
        <f t="shared" si="3"/>
        <v>880.64732369977037</v>
      </c>
      <c r="G27" s="647">
        <f t="shared" ca="1" si="3"/>
        <v>39936.73691255851</v>
      </c>
      <c r="H27" s="647">
        <f t="shared" si="3"/>
        <v>28627.114087578648</v>
      </c>
      <c r="I27" s="647">
        <f t="shared" si="3"/>
        <v>4899.6445819935398</v>
      </c>
      <c r="J27" s="647">
        <f t="shared" si="3"/>
        <v>0</v>
      </c>
      <c r="K27" s="647">
        <f t="shared" si="3"/>
        <v>951.24434004710747</v>
      </c>
      <c r="L27" s="647">
        <f t="shared" si="3"/>
        <v>0</v>
      </c>
      <c r="M27" s="647">
        <f t="shared" ca="1" si="3"/>
        <v>0</v>
      </c>
      <c r="N27" s="647">
        <f t="shared" si="3"/>
        <v>1498.1354658015296</v>
      </c>
      <c r="O27" s="647">
        <f t="shared" ca="1" si="3"/>
        <v>3274.6924056329731</v>
      </c>
      <c r="P27" s="647">
        <f t="shared" si="3"/>
        <v>64.096666666666664</v>
      </c>
      <c r="Q27" s="647">
        <f t="shared" si="3"/>
        <v>228.8</v>
      </c>
      <c r="R27" s="647">
        <f t="shared" ca="1" si="3"/>
        <v>120102.37689677523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978.78708686201003</v>
      </c>
      <c r="D40" s="639">
        <f ca="1">tertiair!C20</f>
        <v>0</v>
      </c>
      <c r="E40" s="639">
        <f ca="1">tertiair!D20</f>
        <v>615.21116480574665</v>
      </c>
      <c r="F40" s="639">
        <f>tertiair!E20</f>
        <v>13.664813238154323</v>
      </c>
      <c r="G40" s="639">
        <f ca="1">tertiair!F20</f>
        <v>240.5936770727495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1848.2567419786603</v>
      </c>
    </row>
    <row r="41" spans="1:18">
      <c r="A41" s="766" t="s">
        <v>214</v>
      </c>
      <c r="B41" s="773"/>
      <c r="C41" s="639">
        <f ca="1">huishoudens!B12</f>
        <v>1644.2316284245946</v>
      </c>
      <c r="D41" s="639">
        <f ca="1">huishoudens!C12</f>
        <v>0</v>
      </c>
      <c r="E41" s="639">
        <f>huishoudens!D12</f>
        <v>2596.6810859264087</v>
      </c>
      <c r="F41" s="639">
        <f>huishoudens!E12</f>
        <v>139.85689858166313</v>
      </c>
      <c r="G41" s="639">
        <f>huishoudens!F12</f>
        <v>5015.1666141436526</v>
      </c>
      <c r="H41" s="639">
        <f>huishoudens!G12</f>
        <v>0</v>
      </c>
      <c r="I41" s="639">
        <f>huishoudens!H12</f>
        <v>0</v>
      </c>
      <c r="J41" s="639">
        <f>huishoudens!I12</f>
        <v>0</v>
      </c>
      <c r="K41" s="639">
        <f>huishoudens!J12</f>
        <v>120.64963126480164</v>
      </c>
      <c r="L41" s="639">
        <f>huishoudens!K12</f>
        <v>0</v>
      </c>
      <c r="M41" s="639">
        <f>huishoudens!L12</f>
        <v>0</v>
      </c>
      <c r="N41" s="639">
        <f>huishoudens!M12</f>
        <v>0</v>
      </c>
      <c r="O41" s="639">
        <f>huishoudens!N12</f>
        <v>0</v>
      </c>
      <c r="P41" s="639">
        <f>huishoudens!O12</f>
        <v>0</v>
      </c>
      <c r="Q41" s="714">
        <f>huishoudens!P12</f>
        <v>0</v>
      </c>
      <c r="R41" s="794">
        <f t="shared" ca="1" si="4"/>
        <v>9516.5858583411209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517.90654907295925</v>
      </c>
      <c r="D43" s="639">
        <f ca="1">industrie!C22</f>
        <v>0</v>
      </c>
      <c r="E43" s="639">
        <f>industrie!D22</f>
        <v>131.75083017318579</v>
      </c>
      <c r="F43" s="639">
        <f>industrie!E22</f>
        <v>5.3290386176500091</v>
      </c>
      <c r="G43" s="639">
        <f>industrie!F22</f>
        <v>153.01822210336653</v>
      </c>
      <c r="H43" s="639">
        <f>industrie!G22</f>
        <v>0</v>
      </c>
      <c r="I43" s="639">
        <f>industrie!H22</f>
        <v>0</v>
      </c>
      <c r="J43" s="639">
        <f>industrie!I22</f>
        <v>0</v>
      </c>
      <c r="K43" s="639">
        <f>industrie!J22</f>
        <v>7.7630216350270365</v>
      </c>
      <c r="L43" s="639">
        <f>industrie!K22</f>
        <v>0</v>
      </c>
      <c r="M43" s="639">
        <f>industrie!L22</f>
        <v>0</v>
      </c>
      <c r="N43" s="639">
        <f>industrie!M22</f>
        <v>0</v>
      </c>
      <c r="O43" s="639">
        <f>industrie!N22</f>
        <v>0</v>
      </c>
      <c r="P43" s="639">
        <f>industrie!O22</f>
        <v>0</v>
      </c>
      <c r="Q43" s="714">
        <f>industrie!P22</f>
        <v>0</v>
      </c>
      <c r="R43" s="793">
        <f t="shared" ca="1" si="4"/>
        <v>815.76766160218858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3140.9252643595637</v>
      </c>
      <c r="D46" s="672">
        <f t="shared" ref="D46:Q46" ca="1" si="5">SUM(D39:D45)</f>
        <v>0</v>
      </c>
      <c r="E46" s="672">
        <f t="shared" ca="1" si="5"/>
        <v>3343.6430809053413</v>
      </c>
      <c r="F46" s="672">
        <f t="shared" si="5"/>
        <v>158.85075043746747</v>
      </c>
      <c r="G46" s="672">
        <f t="shared" ca="1" si="5"/>
        <v>5408.7785133197685</v>
      </c>
      <c r="H46" s="672">
        <f t="shared" si="5"/>
        <v>0</v>
      </c>
      <c r="I46" s="672">
        <f t="shared" si="5"/>
        <v>0</v>
      </c>
      <c r="J46" s="672">
        <f t="shared" si="5"/>
        <v>0</v>
      </c>
      <c r="K46" s="672">
        <f t="shared" si="5"/>
        <v>128.41265289982869</v>
      </c>
      <c r="L46" s="672">
        <f t="shared" si="5"/>
        <v>0</v>
      </c>
      <c r="M46" s="672">
        <f t="shared" ca="1" si="5"/>
        <v>0</v>
      </c>
      <c r="N46" s="672">
        <f t="shared" si="5"/>
        <v>0</v>
      </c>
      <c r="O46" s="672">
        <f t="shared" ca="1" si="5"/>
        <v>0</v>
      </c>
      <c r="P46" s="672">
        <f t="shared" si="5"/>
        <v>0</v>
      </c>
      <c r="Q46" s="672">
        <f t="shared" si="5"/>
        <v>0</v>
      </c>
      <c r="R46" s="672">
        <f ca="1">SUM(R39:R45)</f>
        <v>12180.610261921971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0.25443031094064866</v>
      </c>
      <c r="D49" s="639">
        <f ca="1">transport!C58</f>
        <v>0</v>
      </c>
      <c r="E49" s="639">
        <f>transport!D58</f>
        <v>0</v>
      </c>
      <c r="F49" s="639">
        <f>transport!E58</f>
        <v>0</v>
      </c>
      <c r="G49" s="639">
        <f>transport!F58</f>
        <v>0</v>
      </c>
      <c r="H49" s="639">
        <f>transport!G58</f>
        <v>69.509477724099057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69.763908035039705</v>
      </c>
    </row>
    <row r="50" spans="1:18">
      <c r="A50" s="769" t="s">
        <v>296</v>
      </c>
      <c r="B50" s="779"/>
      <c r="C50" s="948">
        <f ca="1">transport!B18</f>
        <v>0.2943723366219525</v>
      </c>
      <c r="D50" s="948">
        <f>transport!C18</f>
        <v>0</v>
      </c>
      <c r="E50" s="948">
        <f>transport!D18</f>
        <v>0.38957096570322591</v>
      </c>
      <c r="F50" s="948">
        <f>transport!E18</f>
        <v>27.833600484420284</v>
      </c>
      <c r="G50" s="948">
        <f>transport!F18</f>
        <v>0</v>
      </c>
      <c r="H50" s="948">
        <f>transport!G18</f>
        <v>7573.9299836594</v>
      </c>
      <c r="I50" s="948">
        <f>transport!H18</f>
        <v>1220.0115009163915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8822.4590283625366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0.54880264756260111</v>
      </c>
      <c r="D52" s="672">
        <f t="shared" ref="D52:Q52" ca="1" si="6">SUM(D48:D51)</f>
        <v>0</v>
      </c>
      <c r="E52" s="672">
        <f t="shared" si="6"/>
        <v>0.38957096570322591</v>
      </c>
      <c r="F52" s="672">
        <f t="shared" si="6"/>
        <v>27.833600484420284</v>
      </c>
      <c r="G52" s="672">
        <f t="shared" si="6"/>
        <v>0</v>
      </c>
      <c r="H52" s="672">
        <f t="shared" si="6"/>
        <v>7643.4394613834993</v>
      </c>
      <c r="I52" s="672">
        <f t="shared" si="6"/>
        <v>1220.0115009163915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8892.2229363975766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1149.7940244775771</v>
      </c>
      <c r="D54" s="948">
        <f ca="1">+landbouw!C12</f>
        <v>0</v>
      </c>
      <c r="E54" s="948">
        <f>+landbouw!D12</f>
        <v>70.336495322228345</v>
      </c>
      <c r="F54" s="948">
        <f>+landbouw!E12</f>
        <v>13.222591557960142</v>
      </c>
      <c r="G54" s="948">
        <f>+landbouw!F12</f>
        <v>5254.3302423333544</v>
      </c>
      <c r="H54" s="948">
        <f>+landbouw!G12</f>
        <v>0</v>
      </c>
      <c r="I54" s="948">
        <f>+landbouw!H12</f>
        <v>0</v>
      </c>
      <c r="J54" s="948">
        <f>+landbouw!I12</f>
        <v>0</v>
      </c>
      <c r="K54" s="948">
        <f>+landbouw!J12</f>
        <v>208.32784347684733</v>
      </c>
      <c r="L54" s="948">
        <f>+landbouw!K12</f>
        <v>0</v>
      </c>
      <c r="M54" s="948">
        <f>+landbouw!L12</f>
        <v>0</v>
      </c>
      <c r="N54" s="948">
        <f>+landbouw!M12</f>
        <v>0</v>
      </c>
      <c r="O54" s="948">
        <f>+landbouw!N12</f>
        <v>0</v>
      </c>
      <c r="P54" s="948">
        <f>+landbouw!O12</f>
        <v>0</v>
      </c>
      <c r="Q54" s="949">
        <f>+landbouw!P12</f>
        <v>0</v>
      </c>
      <c r="R54" s="671">
        <f ca="1">SUM(C54:Q54)</f>
        <v>6696.0111971679671</v>
      </c>
    </row>
    <row r="55" spans="1:18" ht="15" thickBot="1">
      <c r="A55" s="769" t="s">
        <v>847</v>
      </c>
      <c r="B55" s="779"/>
      <c r="C55" s="948">
        <f ca="1">C25*'EF ele_warmte'!B12</f>
        <v>68.415551398789773</v>
      </c>
      <c r="D55" s="948"/>
      <c r="E55" s="948">
        <f>E25*EF_CO2_aardgas</f>
        <v>95.515285066948977</v>
      </c>
      <c r="F55" s="948"/>
      <c r="G55" s="948"/>
      <c r="H55" s="948"/>
      <c r="I55" s="948"/>
      <c r="J55" s="948"/>
      <c r="K55" s="948"/>
      <c r="L55" s="948"/>
      <c r="M55" s="948"/>
      <c r="N55" s="948"/>
      <c r="O55" s="948"/>
      <c r="P55" s="948"/>
      <c r="Q55" s="949"/>
      <c r="R55" s="671">
        <f ca="1">SUM(C55:Q55)</f>
        <v>163.93083646573876</v>
      </c>
    </row>
    <row r="56" spans="1:18" ht="15.75" thickBot="1">
      <c r="A56" s="767" t="s">
        <v>848</v>
      </c>
      <c r="B56" s="780"/>
      <c r="C56" s="672">
        <f ca="1">SUM(C54:C55)</f>
        <v>1218.2095758763669</v>
      </c>
      <c r="D56" s="672">
        <f t="shared" ref="D56:Q56" ca="1" si="7">SUM(D54:D55)</f>
        <v>0</v>
      </c>
      <c r="E56" s="672">
        <f t="shared" si="7"/>
        <v>165.85178038917732</v>
      </c>
      <c r="F56" s="672">
        <f t="shared" si="7"/>
        <v>13.222591557960142</v>
      </c>
      <c r="G56" s="672">
        <f t="shared" si="7"/>
        <v>5254.3302423333544</v>
      </c>
      <c r="H56" s="672">
        <f t="shared" si="7"/>
        <v>0</v>
      </c>
      <c r="I56" s="672">
        <f t="shared" si="7"/>
        <v>0</v>
      </c>
      <c r="J56" s="672">
        <f t="shared" si="7"/>
        <v>0</v>
      </c>
      <c r="K56" s="672">
        <f t="shared" si="7"/>
        <v>208.32784347684733</v>
      </c>
      <c r="L56" s="672">
        <f t="shared" si="7"/>
        <v>0</v>
      </c>
      <c r="M56" s="672">
        <f t="shared" si="7"/>
        <v>0</v>
      </c>
      <c r="N56" s="672">
        <f t="shared" si="7"/>
        <v>0</v>
      </c>
      <c r="O56" s="672">
        <f t="shared" si="7"/>
        <v>0</v>
      </c>
      <c r="P56" s="672">
        <f t="shared" si="7"/>
        <v>0</v>
      </c>
      <c r="Q56" s="673">
        <f t="shared" si="7"/>
        <v>0</v>
      </c>
      <c r="R56" s="674">
        <f ca="1">SUM(R54:R55)</f>
        <v>6859.9420336337062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4359.6836428834931</v>
      </c>
      <c r="D61" s="680">
        <f t="shared" ref="D61:Q61" ca="1" si="8">D46+D52+D56</f>
        <v>0</v>
      </c>
      <c r="E61" s="680">
        <f t="shared" ca="1" si="8"/>
        <v>3509.8844322602217</v>
      </c>
      <c r="F61" s="680">
        <f t="shared" si="8"/>
        <v>199.90694247984788</v>
      </c>
      <c r="G61" s="680">
        <f t="shared" ca="1" si="8"/>
        <v>10663.108755653124</v>
      </c>
      <c r="H61" s="680">
        <f t="shared" si="8"/>
        <v>7643.4394613834993</v>
      </c>
      <c r="I61" s="680">
        <f t="shared" si="8"/>
        <v>1220.0115009163915</v>
      </c>
      <c r="J61" s="680">
        <f t="shared" si="8"/>
        <v>0</v>
      </c>
      <c r="K61" s="680">
        <f t="shared" si="8"/>
        <v>336.74049637667599</v>
      </c>
      <c r="L61" s="680">
        <f t="shared" si="8"/>
        <v>0</v>
      </c>
      <c r="M61" s="680">
        <f t="shared" ca="1" si="8"/>
        <v>0</v>
      </c>
      <c r="N61" s="680">
        <f t="shared" si="8"/>
        <v>0</v>
      </c>
      <c r="O61" s="680">
        <f t="shared" ca="1" si="8"/>
        <v>0</v>
      </c>
      <c r="P61" s="680">
        <f t="shared" si="8"/>
        <v>0</v>
      </c>
      <c r="Q61" s="680">
        <f t="shared" si="8"/>
        <v>0</v>
      </c>
      <c r="R61" s="680">
        <f ca="1">R46+R52+R56</f>
        <v>27932.775231953252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0.19492809133564218</v>
      </c>
      <c r="D63" s="724">
        <f t="shared" ca="1" si="9"/>
        <v>0</v>
      </c>
      <c r="E63" s="950">
        <f t="shared" ca="1" si="9"/>
        <v>0.20199999999999999</v>
      </c>
      <c r="F63" s="724">
        <f t="shared" si="9"/>
        <v>0.22700000000000001</v>
      </c>
      <c r="G63" s="724">
        <f t="shared" ca="1" si="9"/>
        <v>0.26700000000000002</v>
      </c>
      <c r="H63" s="724">
        <f t="shared" si="9"/>
        <v>0.26700000000000002</v>
      </c>
      <c r="I63" s="724">
        <f t="shared" si="9"/>
        <v>0.24900000000000003</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2613.7742993926286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24.75</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61.875</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2638.5242993926286</v>
      </c>
      <c r="C78" s="695">
        <f>SUM(C72:C77)</f>
        <v>0</v>
      </c>
      <c r="D78" s="696">
        <f t="shared" ref="D78:H78" si="10">SUM(D76:D77)</f>
        <v>0</v>
      </c>
      <c r="E78" s="696">
        <f t="shared" si="10"/>
        <v>0</v>
      </c>
      <c r="F78" s="696">
        <f t="shared" si="10"/>
        <v>0</v>
      </c>
      <c r="G78" s="696">
        <f t="shared" si="10"/>
        <v>0</v>
      </c>
      <c r="H78" s="696">
        <f t="shared" si="10"/>
        <v>0</v>
      </c>
      <c r="I78" s="696">
        <f>SUM(I76:I77)</f>
        <v>61.875</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8435.0676044605098</v>
      </c>
      <c r="C4" s="447">
        <f>huishoudens!C8</f>
        <v>0</v>
      </c>
      <c r="D4" s="447">
        <f>huishoudens!D8</f>
        <v>12854.856861021824</v>
      </c>
      <c r="E4" s="447">
        <f>huishoudens!E8</f>
        <v>616.10968538177588</v>
      </c>
      <c r="F4" s="447">
        <f>huishoudens!F8</f>
        <v>18783.395558590459</v>
      </c>
      <c r="G4" s="447">
        <f>huishoudens!G8</f>
        <v>0</v>
      </c>
      <c r="H4" s="447">
        <f>huishoudens!H8</f>
        <v>0</v>
      </c>
      <c r="I4" s="447">
        <f>huishoudens!I8</f>
        <v>0</v>
      </c>
      <c r="J4" s="447">
        <f>huishoudens!J8</f>
        <v>340.8181674146939</v>
      </c>
      <c r="K4" s="447">
        <f>huishoudens!K8</f>
        <v>0</v>
      </c>
      <c r="L4" s="447">
        <f>huishoudens!L8</f>
        <v>0</v>
      </c>
      <c r="M4" s="447">
        <f>huishoudens!M8</f>
        <v>0</v>
      </c>
      <c r="N4" s="447">
        <f>huishoudens!N8</f>
        <v>2990.2744174826576</v>
      </c>
      <c r="O4" s="447">
        <f>huishoudens!O8</f>
        <v>57.843333333333334</v>
      </c>
      <c r="P4" s="448">
        <f>huishoudens!P8</f>
        <v>209.73333333333335</v>
      </c>
      <c r="Q4" s="449">
        <f>SUM(B4:P4)</f>
        <v>44288.098961018579</v>
      </c>
    </row>
    <row r="5" spans="1:17">
      <c r="A5" s="446" t="s">
        <v>149</v>
      </c>
      <c r="B5" s="447">
        <f ca="1">tertiair!B16</f>
        <v>4643.1406147133875</v>
      </c>
      <c r="C5" s="447">
        <f ca="1">tertiair!C16</f>
        <v>0</v>
      </c>
      <c r="D5" s="447">
        <f ca="1">tertiair!D16</f>
        <v>3045.5998257710226</v>
      </c>
      <c r="E5" s="447">
        <f>tertiair!E16</f>
        <v>60.19741514605429</v>
      </c>
      <c r="F5" s="447">
        <f ca="1">tertiair!F16</f>
        <v>901.09991413014791</v>
      </c>
      <c r="G5" s="447">
        <f>tertiair!G16</f>
        <v>0</v>
      </c>
      <c r="H5" s="447">
        <f>tertiair!H16</f>
        <v>0</v>
      </c>
      <c r="I5" s="447">
        <f>tertiair!I16</f>
        <v>0</v>
      </c>
      <c r="J5" s="447">
        <f>tertiair!J16</f>
        <v>0</v>
      </c>
      <c r="K5" s="447">
        <f>tertiair!K16</f>
        <v>0</v>
      </c>
      <c r="L5" s="447">
        <f ca="1">tertiair!L16</f>
        <v>0</v>
      </c>
      <c r="M5" s="447">
        <f>tertiair!M16</f>
        <v>0</v>
      </c>
      <c r="N5" s="447">
        <f ca="1">tertiair!N16</f>
        <v>222.19293687877982</v>
      </c>
      <c r="O5" s="447">
        <f>tertiair!O16</f>
        <v>6.2533333333333339</v>
      </c>
      <c r="P5" s="448">
        <f>tertiair!P16</f>
        <v>19.066666666666666</v>
      </c>
      <c r="Q5" s="446">
        <f t="shared" ref="Q5:Q14" ca="1" si="0">SUM(B5:P5)</f>
        <v>8897.5507066393948</v>
      </c>
    </row>
    <row r="6" spans="1:17">
      <c r="A6" s="446" t="s">
        <v>187</v>
      </c>
      <c r="B6" s="447">
        <f>'openbare verlichting'!B8</f>
        <v>378.13200000000001</v>
      </c>
      <c r="C6" s="447"/>
      <c r="D6" s="447"/>
      <c r="E6" s="447"/>
      <c r="F6" s="447"/>
      <c r="G6" s="447"/>
      <c r="H6" s="447"/>
      <c r="I6" s="447"/>
      <c r="J6" s="447"/>
      <c r="K6" s="447"/>
      <c r="L6" s="447"/>
      <c r="M6" s="447"/>
      <c r="N6" s="447"/>
      <c r="O6" s="447"/>
      <c r="P6" s="448"/>
      <c r="Q6" s="446">
        <f t="shared" si="0"/>
        <v>378.13200000000001</v>
      </c>
    </row>
    <row r="7" spans="1:17">
      <c r="A7" s="446" t="s">
        <v>105</v>
      </c>
      <c r="B7" s="447">
        <f>landbouw!B8</f>
        <v>5898.554777811748</v>
      </c>
      <c r="C7" s="447">
        <f>landbouw!C8</f>
        <v>0</v>
      </c>
      <c r="D7" s="447">
        <f>landbouw!D8</f>
        <v>348.20047189221953</v>
      </c>
      <c r="E7" s="447">
        <f>landbouw!E8</f>
        <v>58.249302017445558</v>
      </c>
      <c r="F7" s="447">
        <f>landbouw!F8</f>
        <v>19679.139484394585</v>
      </c>
      <c r="G7" s="447">
        <f>landbouw!G8</f>
        <v>0</v>
      </c>
      <c r="H7" s="447">
        <f>landbouw!H8</f>
        <v>0</v>
      </c>
      <c r="I7" s="447">
        <f>landbouw!I8</f>
        <v>0</v>
      </c>
      <c r="J7" s="447">
        <f>landbouw!J8</f>
        <v>588.49673298544451</v>
      </c>
      <c r="K7" s="447">
        <f>landbouw!K8</f>
        <v>0</v>
      </c>
      <c r="L7" s="447">
        <f>landbouw!L8</f>
        <v>0</v>
      </c>
      <c r="M7" s="447">
        <f>landbouw!M8</f>
        <v>0</v>
      </c>
      <c r="N7" s="447">
        <f>landbouw!N8</f>
        <v>0</v>
      </c>
      <c r="O7" s="447">
        <f>landbouw!O8</f>
        <v>0</v>
      </c>
      <c r="P7" s="448">
        <f>landbouw!P8</f>
        <v>0</v>
      </c>
      <c r="Q7" s="446">
        <f t="shared" si="0"/>
        <v>26572.640769101443</v>
      </c>
    </row>
    <row r="8" spans="1:17">
      <c r="A8" s="446" t="s">
        <v>640</v>
      </c>
      <c r="B8" s="447">
        <f>industrie!B18</f>
        <v>2656.9107896367177</v>
      </c>
      <c r="C8" s="447">
        <f>industrie!C18</f>
        <v>0</v>
      </c>
      <c r="D8" s="447">
        <f>industrie!D18</f>
        <v>652.23183254052367</v>
      </c>
      <c r="E8" s="447">
        <f>industrie!E18</f>
        <v>23.47594104691634</v>
      </c>
      <c r="F8" s="447">
        <f>industrie!F18</f>
        <v>573.10195544332032</v>
      </c>
      <c r="G8" s="447">
        <f>industrie!G18</f>
        <v>0</v>
      </c>
      <c r="H8" s="447">
        <f>industrie!H18</f>
        <v>0</v>
      </c>
      <c r="I8" s="447">
        <f>industrie!I18</f>
        <v>0</v>
      </c>
      <c r="J8" s="447">
        <f>industrie!J18</f>
        <v>21.92943964696903</v>
      </c>
      <c r="K8" s="447">
        <f>industrie!K18</f>
        <v>0</v>
      </c>
      <c r="L8" s="447">
        <f>industrie!L18</f>
        <v>0</v>
      </c>
      <c r="M8" s="447">
        <f>industrie!M18</f>
        <v>0</v>
      </c>
      <c r="N8" s="447">
        <f>industrie!N18</f>
        <v>62.225051271536046</v>
      </c>
      <c r="O8" s="447">
        <f>industrie!O18</f>
        <v>0</v>
      </c>
      <c r="P8" s="448">
        <f>industrie!P18</f>
        <v>0</v>
      </c>
      <c r="Q8" s="446">
        <f t="shared" si="0"/>
        <v>3989.8750095859832</v>
      </c>
    </row>
    <row r="9" spans="1:17" s="452" customFormat="1">
      <c r="A9" s="450" t="s">
        <v>560</v>
      </c>
      <c r="B9" s="451">
        <f>transport!B14</f>
        <v>1.5101586159538165</v>
      </c>
      <c r="C9" s="451">
        <f>transport!C14</f>
        <v>0</v>
      </c>
      <c r="D9" s="451">
        <f>transport!D14</f>
        <v>1.9285691371446827</v>
      </c>
      <c r="E9" s="451">
        <f>transport!E14</f>
        <v>122.61498010757835</v>
      </c>
      <c r="F9" s="451">
        <f>transport!F14</f>
        <v>0</v>
      </c>
      <c r="G9" s="451">
        <f>transport!G14</f>
        <v>28366.778965016478</v>
      </c>
      <c r="H9" s="451">
        <f>transport!H14</f>
        <v>4899.6445819935398</v>
      </c>
      <c r="I9" s="451">
        <f>transport!I14</f>
        <v>0</v>
      </c>
      <c r="J9" s="451">
        <f>transport!J14</f>
        <v>0</v>
      </c>
      <c r="K9" s="451">
        <f>transport!K14</f>
        <v>0</v>
      </c>
      <c r="L9" s="451">
        <f>transport!L14</f>
        <v>0</v>
      </c>
      <c r="M9" s="451">
        <f>transport!M14</f>
        <v>1486.6289306523622</v>
      </c>
      <c r="N9" s="451">
        <f>transport!N14</f>
        <v>0</v>
      </c>
      <c r="O9" s="451">
        <f>transport!O14</f>
        <v>0</v>
      </c>
      <c r="P9" s="451">
        <f>transport!P14</f>
        <v>0</v>
      </c>
      <c r="Q9" s="450">
        <f>SUM(B9:P9)</f>
        <v>34879.106185523058</v>
      </c>
    </row>
    <row r="10" spans="1:17">
      <c r="A10" s="446" t="s">
        <v>550</v>
      </c>
      <c r="B10" s="447">
        <f>transport!B54</f>
        <v>1.3052521532289103</v>
      </c>
      <c r="C10" s="447">
        <f>transport!C54</f>
        <v>0</v>
      </c>
      <c r="D10" s="447">
        <f>transport!D54</f>
        <v>0</v>
      </c>
      <c r="E10" s="447">
        <f>transport!E54</f>
        <v>0</v>
      </c>
      <c r="F10" s="447">
        <f>transport!F54</f>
        <v>0</v>
      </c>
      <c r="G10" s="447">
        <f>transport!G54</f>
        <v>260.33512256216875</v>
      </c>
      <c r="H10" s="447">
        <f>transport!H54</f>
        <v>0</v>
      </c>
      <c r="I10" s="447">
        <f>transport!I54</f>
        <v>0</v>
      </c>
      <c r="J10" s="447">
        <f>transport!J54</f>
        <v>0</v>
      </c>
      <c r="K10" s="447">
        <f>transport!K54</f>
        <v>0</v>
      </c>
      <c r="L10" s="447">
        <f>transport!L54</f>
        <v>0</v>
      </c>
      <c r="M10" s="447">
        <f>transport!M54</f>
        <v>11.506535149167309</v>
      </c>
      <c r="N10" s="447">
        <f>transport!N54</f>
        <v>0</v>
      </c>
      <c r="O10" s="447">
        <f>transport!O54</f>
        <v>0</v>
      </c>
      <c r="P10" s="448">
        <f>transport!P54</f>
        <v>0</v>
      </c>
      <c r="Q10" s="446">
        <f t="shared" si="0"/>
        <v>273.14690986456498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350.97840916621203</v>
      </c>
      <c r="C14" s="454"/>
      <c r="D14" s="454">
        <f>'SEAP template'!E25</f>
        <v>472.84794587598503</v>
      </c>
      <c r="E14" s="454"/>
      <c r="F14" s="454"/>
      <c r="G14" s="454"/>
      <c r="H14" s="454"/>
      <c r="I14" s="454"/>
      <c r="J14" s="454"/>
      <c r="K14" s="454"/>
      <c r="L14" s="454"/>
      <c r="M14" s="454"/>
      <c r="N14" s="454"/>
      <c r="O14" s="454"/>
      <c r="P14" s="455"/>
      <c r="Q14" s="446">
        <f t="shared" si="0"/>
        <v>823.82635504219706</v>
      </c>
    </row>
    <row r="15" spans="1:17" s="459" customFormat="1">
      <c r="A15" s="456" t="s">
        <v>554</v>
      </c>
      <c r="B15" s="457">
        <f ca="1">SUM(B4:B14)</f>
        <v>22365.599606557756</v>
      </c>
      <c r="C15" s="457">
        <f t="shared" ref="C15:Q15" ca="1" si="1">SUM(C4:C14)</f>
        <v>0</v>
      </c>
      <c r="D15" s="457">
        <f t="shared" ca="1" si="1"/>
        <v>17375.665506238722</v>
      </c>
      <c r="E15" s="457">
        <f t="shared" si="1"/>
        <v>880.64732369977037</v>
      </c>
      <c r="F15" s="457">
        <f t="shared" ca="1" si="1"/>
        <v>39936.736912558517</v>
      </c>
      <c r="G15" s="457">
        <f t="shared" si="1"/>
        <v>28627.114087578648</v>
      </c>
      <c r="H15" s="457">
        <f t="shared" si="1"/>
        <v>4899.6445819935398</v>
      </c>
      <c r="I15" s="457">
        <f t="shared" si="1"/>
        <v>0</v>
      </c>
      <c r="J15" s="457">
        <f t="shared" si="1"/>
        <v>951.24434004710747</v>
      </c>
      <c r="K15" s="457">
        <f t="shared" si="1"/>
        <v>0</v>
      </c>
      <c r="L15" s="457">
        <f t="shared" ca="1" si="1"/>
        <v>0</v>
      </c>
      <c r="M15" s="457">
        <f t="shared" si="1"/>
        <v>1498.1354658015296</v>
      </c>
      <c r="N15" s="457">
        <f t="shared" ca="1" si="1"/>
        <v>3274.6924056329731</v>
      </c>
      <c r="O15" s="457">
        <f t="shared" si="1"/>
        <v>64.096666666666664</v>
      </c>
      <c r="P15" s="457">
        <f t="shared" si="1"/>
        <v>228.8</v>
      </c>
      <c r="Q15" s="457">
        <f t="shared" ca="1" si="1"/>
        <v>120102.37689677521</v>
      </c>
    </row>
    <row r="17" spans="1:17">
      <c r="A17" s="460" t="s">
        <v>555</v>
      </c>
      <c r="B17" s="729">
        <f ca="1">huishoudens!B10</f>
        <v>0.19492809133564218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1644.2316284245946</v>
      </c>
      <c r="C22" s="447">
        <f t="shared" ref="C22:C32" ca="1" si="3">C4*$C$17</f>
        <v>0</v>
      </c>
      <c r="D22" s="447">
        <f t="shared" ref="D22:D32" si="4">D4*$D$17</f>
        <v>2596.6810859264087</v>
      </c>
      <c r="E22" s="447">
        <f t="shared" ref="E22:E32" si="5">E4*$E$17</f>
        <v>139.85689858166313</v>
      </c>
      <c r="F22" s="447">
        <f t="shared" ref="F22:F32" si="6">F4*$F$17</f>
        <v>5015.1666141436526</v>
      </c>
      <c r="G22" s="447">
        <f t="shared" ref="G22:G32" si="7">G4*$G$17</f>
        <v>0</v>
      </c>
      <c r="H22" s="447">
        <f t="shared" ref="H22:H32" si="8">H4*$H$17</f>
        <v>0</v>
      </c>
      <c r="I22" s="447">
        <f t="shared" ref="I22:I32" si="9">I4*$I$17</f>
        <v>0</v>
      </c>
      <c r="J22" s="447">
        <f t="shared" ref="J22:J32" si="10">J4*$J$17</f>
        <v>120.64963126480164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9516.5858583411209</v>
      </c>
    </row>
    <row r="23" spans="1:17">
      <c r="A23" s="446" t="s">
        <v>149</v>
      </c>
      <c r="B23" s="447">
        <f t="shared" ca="1" si="2"/>
        <v>905.07853782908103</v>
      </c>
      <c r="C23" s="447">
        <f t="shared" ca="1" si="3"/>
        <v>0</v>
      </c>
      <c r="D23" s="447">
        <f t="shared" ca="1" si="4"/>
        <v>615.21116480574665</v>
      </c>
      <c r="E23" s="447">
        <f t="shared" si="5"/>
        <v>13.664813238154323</v>
      </c>
      <c r="F23" s="447">
        <f t="shared" ca="1" si="6"/>
        <v>240.5936770727495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1774.5481929457314</v>
      </c>
    </row>
    <row r="24" spans="1:17">
      <c r="A24" s="446" t="s">
        <v>187</v>
      </c>
      <c r="B24" s="447">
        <f t="shared" ca="1" si="2"/>
        <v>73.708549032929042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73.708549032929042</v>
      </c>
    </row>
    <row r="25" spans="1:17">
      <c r="A25" s="446" t="s">
        <v>105</v>
      </c>
      <c r="B25" s="447">
        <f t="shared" ca="1" si="2"/>
        <v>1149.7940244775771</v>
      </c>
      <c r="C25" s="447">
        <f t="shared" ca="1" si="3"/>
        <v>0</v>
      </c>
      <c r="D25" s="447">
        <f t="shared" si="4"/>
        <v>70.336495322228345</v>
      </c>
      <c r="E25" s="447">
        <f t="shared" si="5"/>
        <v>13.222591557960142</v>
      </c>
      <c r="F25" s="447">
        <f t="shared" si="6"/>
        <v>5254.3302423333544</v>
      </c>
      <c r="G25" s="447">
        <f t="shared" si="7"/>
        <v>0</v>
      </c>
      <c r="H25" s="447">
        <f t="shared" si="8"/>
        <v>0</v>
      </c>
      <c r="I25" s="447">
        <f t="shared" si="9"/>
        <v>0</v>
      </c>
      <c r="J25" s="447">
        <f t="shared" si="10"/>
        <v>208.32784347684733</v>
      </c>
      <c r="K25" s="447">
        <f t="shared" si="11"/>
        <v>0</v>
      </c>
      <c r="L25" s="447">
        <f t="shared" si="12"/>
        <v>0</v>
      </c>
      <c r="M25" s="447">
        <f t="shared" si="13"/>
        <v>0</v>
      </c>
      <c r="N25" s="447">
        <f t="shared" si="14"/>
        <v>0</v>
      </c>
      <c r="O25" s="447">
        <f t="shared" si="15"/>
        <v>0</v>
      </c>
      <c r="P25" s="448">
        <f t="shared" si="16"/>
        <v>0</v>
      </c>
      <c r="Q25" s="446">
        <f t="shared" ca="1" si="17"/>
        <v>6696.0111971679671</v>
      </c>
    </row>
    <row r="26" spans="1:17">
      <c r="A26" s="446" t="s">
        <v>640</v>
      </c>
      <c r="B26" s="447">
        <f t="shared" ca="1" si="2"/>
        <v>517.90654907295925</v>
      </c>
      <c r="C26" s="447">
        <f t="shared" ca="1" si="3"/>
        <v>0</v>
      </c>
      <c r="D26" s="447">
        <f t="shared" si="4"/>
        <v>131.75083017318579</v>
      </c>
      <c r="E26" s="447">
        <f t="shared" si="5"/>
        <v>5.3290386176500091</v>
      </c>
      <c r="F26" s="447">
        <f t="shared" si="6"/>
        <v>153.01822210336653</v>
      </c>
      <c r="G26" s="447">
        <f t="shared" si="7"/>
        <v>0</v>
      </c>
      <c r="H26" s="447">
        <f t="shared" si="8"/>
        <v>0</v>
      </c>
      <c r="I26" s="447">
        <f t="shared" si="9"/>
        <v>0</v>
      </c>
      <c r="J26" s="447">
        <f t="shared" si="10"/>
        <v>7.7630216350270365</v>
      </c>
      <c r="K26" s="447">
        <f t="shared" si="11"/>
        <v>0</v>
      </c>
      <c r="L26" s="447">
        <f t="shared" si="12"/>
        <v>0</v>
      </c>
      <c r="M26" s="447">
        <f t="shared" si="13"/>
        <v>0</v>
      </c>
      <c r="N26" s="447">
        <f t="shared" si="14"/>
        <v>0</v>
      </c>
      <c r="O26" s="447">
        <f t="shared" si="15"/>
        <v>0</v>
      </c>
      <c r="P26" s="448">
        <f t="shared" si="16"/>
        <v>0</v>
      </c>
      <c r="Q26" s="446">
        <f t="shared" ca="1" si="17"/>
        <v>815.76766160218858</v>
      </c>
    </row>
    <row r="27" spans="1:17" s="452" customFormat="1">
      <c r="A27" s="450" t="s">
        <v>560</v>
      </c>
      <c r="B27" s="723">
        <f t="shared" ca="1" si="2"/>
        <v>0.2943723366219525</v>
      </c>
      <c r="C27" s="451">
        <f t="shared" ca="1" si="3"/>
        <v>0</v>
      </c>
      <c r="D27" s="451">
        <f t="shared" si="4"/>
        <v>0.38957096570322591</v>
      </c>
      <c r="E27" s="451">
        <f t="shared" si="5"/>
        <v>27.833600484420284</v>
      </c>
      <c r="F27" s="451">
        <f t="shared" si="6"/>
        <v>0</v>
      </c>
      <c r="G27" s="451">
        <f t="shared" si="7"/>
        <v>7573.9299836594</v>
      </c>
      <c r="H27" s="451">
        <f t="shared" si="8"/>
        <v>1220.0115009163915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8822.4590283625366</v>
      </c>
    </row>
    <row r="28" spans="1:17">
      <c r="A28" s="446" t="s">
        <v>550</v>
      </c>
      <c r="B28" s="447">
        <f t="shared" ca="1" si="2"/>
        <v>0.25443031094064866</v>
      </c>
      <c r="C28" s="447">
        <f t="shared" ca="1" si="3"/>
        <v>0</v>
      </c>
      <c r="D28" s="447">
        <f t="shared" si="4"/>
        <v>0</v>
      </c>
      <c r="E28" s="447">
        <f t="shared" si="5"/>
        <v>0</v>
      </c>
      <c r="F28" s="447">
        <f t="shared" si="6"/>
        <v>0</v>
      </c>
      <c r="G28" s="447">
        <f t="shared" si="7"/>
        <v>69.509477724099057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69.763908035039705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68.415551398789773</v>
      </c>
      <c r="C32" s="447">
        <f t="shared" ca="1" si="3"/>
        <v>0</v>
      </c>
      <c r="D32" s="447">
        <f t="shared" si="4"/>
        <v>95.515285066948977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163.93083646573876</v>
      </c>
    </row>
    <row r="33" spans="1:17" s="459" customFormat="1">
      <c r="A33" s="456" t="s">
        <v>554</v>
      </c>
      <c r="B33" s="457">
        <f ca="1">SUM(B22:B32)</f>
        <v>4359.6836428834931</v>
      </c>
      <c r="C33" s="457">
        <f t="shared" ref="C33:Q33" ca="1" si="18">SUM(C22:C32)</f>
        <v>0</v>
      </c>
      <c r="D33" s="457">
        <f t="shared" ca="1" si="18"/>
        <v>3509.8844322602217</v>
      </c>
      <c r="E33" s="457">
        <f t="shared" si="18"/>
        <v>199.90694247984788</v>
      </c>
      <c r="F33" s="457">
        <f t="shared" ca="1" si="18"/>
        <v>10663.108755653122</v>
      </c>
      <c r="G33" s="457">
        <f t="shared" si="18"/>
        <v>7643.4394613834993</v>
      </c>
      <c r="H33" s="457">
        <f t="shared" si="18"/>
        <v>1220.0115009163915</v>
      </c>
      <c r="I33" s="457">
        <f t="shared" si="18"/>
        <v>0</v>
      </c>
      <c r="J33" s="457">
        <f t="shared" si="18"/>
        <v>336.74049637667599</v>
      </c>
      <c r="K33" s="457">
        <f t="shared" si="18"/>
        <v>0</v>
      </c>
      <c r="L33" s="457">
        <f t="shared" ca="1" si="18"/>
        <v>0</v>
      </c>
      <c r="M33" s="457">
        <f t="shared" si="18"/>
        <v>0</v>
      </c>
      <c r="N33" s="457">
        <f t="shared" ca="1" si="18"/>
        <v>0</v>
      </c>
      <c r="O33" s="457">
        <f t="shared" si="18"/>
        <v>0</v>
      </c>
      <c r="P33" s="457">
        <f t="shared" si="18"/>
        <v>0</v>
      </c>
      <c r="Q33" s="457">
        <f t="shared" ca="1" si="18"/>
        <v>27932.775231953248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2613.7742993926286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24.75</v>
      </c>
      <c r="C9" s="977">
        <f>'SEAP template'!C77</f>
        <v>0</v>
      </c>
      <c r="D9" s="977">
        <f>'SEAP template'!D77</f>
        <v>0</v>
      </c>
      <c r="E9" s="977">
        <f>'SEAP template'!E77</f>
        <v>0</v>
      </c>
      <c r="F9" s="977">
        <f>'SEAP template'!F77</f>
        <v>0</v>
      </c>
      <c r="G9" s="977">
        <f>'SEAP template'!G77</f>
        <v>0</v>
      </c>
      <c r="H9" s="977">
        <f>'SEAP template'!H77</f>
        <v>0</v>
      </c>
      <c r="I9" s="977">
        <f>'SEAP template'!I77</f>
        <v>61.875</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2638.5242993926286</v>
      </c>
      <c r="C10" s="981">
        <f>SUM(C4:C9)</f>
        <v>0</v>
      </c>
      <c r="D10" s="981">
        <f t="shared" ref="D10:H10" si="0">SUM(D8:D9)</f>
        <v>0</v>
      </c>
      <c r="E10" s="981">
        <f t="shared" si="0"/>
        <v>0</v>
      </c>
      <c r="F10" s="981">
        <f t="shared" si="0"/>
        <v>0</v>
      </c>
      <c r="G10" s="981">
        <f t="shared" si="0"/>
        <v>0</v>
      </c>
      <c r="H10" s="981">
        <f t="shared" si="0"/>
        <v>0</v>
      </c>
      <c r="I10" s="981">
        <f>SUM(I8:I9)</f>
        <v>61.875</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0.19492809133564218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0.19492809133564218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2022-07-26T12:32:26Z</dcterms:modified>
</cp:coreProperties>
</file>