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32387012-01DE-4EDA-8CD3-EA8FFE32CA3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8" i="18"/>
  <c r="E9"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Q38" i="18"/>
  <c r="R38" i="18"/>
  <c r="J9" i="18"/>
  <c r="U38" i="18"/>
  <c r="T38" i="18"/>
  <c r="I9"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L20" i="18"/>
  <c r="D20" i="18"/>
  <c r="G12" i="18"/>
  <c r="F12" i="18"/>
  <c r="E12" i="18"/>
  <c r="D12" i="18"/>
  <c r="C12" i="18"/>
  <c r="L10" i="18"/>
  <c r="K10" i="18"/>
  <c r="G10" i="18"/>
  <c r="D10" i="18"/>
  <c r="B6" i="18"/>
  <c r="B5" i="18"/>
  <c r="B4" i="18"/>
  <c r="B47" i="18"/>
  <c r="F51" i="18"/>
  <c r="F20" i="18"/>
  <c r="B17" i="18"/>
  <c r="C47" i="18"/>
  <c r="B50" i="18"/>
  <c r="C8" i="18"/>
  <c r="G20" i="18"/>
  <c r="K20" i="18"/>
  <c r="B10" i="18"/>
  <c r="O9" i="18"/>
  <c r="O19" i="18"/>
  <c r="O18" i="18"/>
  <c r="B20" i="18"/>
  <c r="I50" i="18"/>
  <c r="H8" i="18"/>
  <c r="H10" i="18"/>
  <c r="E50" i="18"/>
  <c r="E8" i="18"/>
  <c r="E10" i="18"/>
  <c r="D50" i="18"/>
  <c r="F50" i="18"/>
  <c r="N6" i="17"/>
  <c r="L6" i="17"/>
  <c r="F6" i="17"/>
  <c r="D6" i="17"/>
  <c r="C6" i="17"/>
  <c r="N16" i="16"/>
  <c r="L16" i="16"/>
  <c r="F16" i="16"/>
  <c r="D16" i="16"/>
  <c r="C16" i="16"/>
  <c r="B16" i="16"/>
  <c r="B13" i="15"/>
  <c r="H50" i="18"/>
  <c r="C50" i="18"/>
  <c r="J8" i="18"/>
  <c r="C51" i="18"/>
  <c r="H51" i="18"/>
  <c r="G51" i="18"/>
  <c r="I17" i="18"/>
  <c r="I51" i="18"/>
  <c r="H17" i="18"/>
  <c r="H20" i="18"/>
  <c r="D51" i="18"/>
  <c r="E51" i="18"/>
  <c r="E17" i="18"/>
  <c r="E20" i="18"/>
  <c r="B51" i="18"/>
  <c r="C17" i="18"/>
  <c r="C20" i="18"/>
  <c r="G50"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<sst xmlns="http://schemas.openxmlformats.org/spreadsheetml/2006/main" count="2507" uniqueCount="945">
  <si>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</si>
  <si>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</si>
  <si>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</si>
  <si>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</si>
  <si>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</si>
  <si>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</si>
  <si>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</si>
  <si>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</si>
  <si>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</si>
  <si>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</si>
  <si>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</si>
  <si>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</si>
  <si>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</si>
  <si>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</si>
  <si>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</si>
  <si>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</si>
  <si>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</si>
  <si>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</si>
  <si>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</si>
  <si>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</si>
  <si>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</si>
  <si>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</si>
  <si>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</si>
  <si>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</si>
  <si>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</si>
  <si>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</si>
  <si>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</si>
  <si>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</si>
  <si>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</si>
  <si>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</si>
  <si>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</si>
  <si>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</si>
  <si>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</si>
  <si>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</si>
  <si>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</si>
  <si>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</si>
  <si>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</si>
  <si>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</si>
  <si>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</si>
  <si>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</si>
  <si>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</si>
  <si>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</si>
  <si>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</si>
  <si>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</si>
  <si>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</si>
  <si>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</si>
  <si>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</si>
  <si>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</si>
  <si>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</si>
  <si>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</si>
  <si>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</si>
  <si>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</si>
  <si>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</si>
  <si>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</si>
  <si>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</si>
  <si>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</si>
  <si>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</si>
  <si>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</si>
  <si>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</si>
  <si>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</si>
  <si>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</si>
  <si>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</si>
  <si>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</si>
  <si>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</si>
  <si>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</si>
  <si>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</si>
  <si>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</si>
  <si>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</si>
  <si>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</si>
  <si>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</si>
  <si>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</si>
  <si>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</si>
  <si>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</si>
  <si>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</si>
  <si>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</si>
  <si>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</si>
  <si>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</si>
  <si>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</si>
  <si>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</si>
  <si>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</si>
  <si>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</si>
  <si>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</si>
  <si>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</si>
  <si>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</si>
  <si>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</si>
  <si>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</si>
  <si>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</si>
  <si>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</si>
  <si>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</si>
  <si>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</si>
  <si>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</si>
  <si>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</si>
  <si>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</si>
  <si>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</si>
  <si>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</si>
  <si>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</si>
  <si>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</si>
  <si>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</si>
  <si>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</si>
  <si>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</si>
  <si>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</si>
  <si>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</si>
  <si>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</si>
  <si>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</si>
  <si>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</si>
  <si>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</si>
  <si>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</si>
  <si>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</si>
  <si>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</si>
  <si>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</si>
  <si>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</si>
  <si>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</si>
  <si>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</si>
  <si>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</si>
  <si>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</si>
  <si>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</si>
  <si>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</si>
  <si>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</si>
  <si>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</si>
  <si>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</si>
  <si>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</si>
  <si>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</si>
  <si>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</si>
  <si>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</si>
  <si>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</si>
  <si>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</si>
  <si>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</si>
  <si>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</si>
  <si>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</si>
  <si>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</si>
  <si>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</si>
  <si>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</si>
  <si>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</si>
  <si>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</si>
  <si>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</si>
  <si>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</si>
  <si>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</si>
  <si>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</si>
  <si>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</si>
  <si>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</si>
  <si>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</si>
  <si>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</si>
  <si>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</si>
  <si>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</si>
  <si>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</si>
  <si>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</si>
  <si>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</si>
  <si>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</si>
  <si>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</si>
  <si>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</si>
  <si>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</si>
  <si>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</si>
  <si>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</si>
  <si>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</si>
  <si>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</si>
  <si>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</si>
  <si>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</si>
  <si>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</si>
  <si>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</si>
  <si>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</si>
  <si>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</si>
  <si>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</si>
  <si>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</si>
  <si>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</si>
  <si>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</si>
  <si>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</si>
  <si>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</si>
  <si>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</si>
  <si>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</si>
  <si>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</si>
  <si>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</si>
  <si>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</si>
  <si>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</si>
  <si>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</si>
  <si>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</si>
  <si>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</si>
  <si>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</si>
  <si>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</si>
  <si>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</si>
  <si>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</si>
  <si>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</si>
  <si>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</si>
  <si>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</si>
  <si>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</si>
  <si>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</si>
  <si>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</si>
  <si>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</si>
  <si>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</si>
  <si>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</si>
  <si>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</si>
  <si>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</si>
  <si>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</si>
  <si>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</si>
  <si>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</si>
  <si>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</si>
  <si>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</si>
  <si>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</si>
  <si>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</si>
  <si>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</si>
  <si>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</si>
  <si>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</si>
  <si>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</si>
  <si>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</si>
  <si>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</si>
  <si>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</si>
  <si>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</si>
  <si>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</si>
  <si>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</si>
  <si>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</si>
  <si>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</si>
  <si>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</si>
  <si>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</si>
  <si>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</si>
  <si>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</si>
  <si>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</si>
  <si>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</si>
  <si>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</si>
  <si>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</si>
  <si>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</si>
  <si>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</si>
  <si>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</si>
  <si>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</si>
  <si>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</si>
  <si>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</si>
  <si>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</si>
  <si>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</si>
  <si>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</si>
  <si>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</si>
  <si>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</si>
  <si>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</si>
  <si>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</si>
  <si>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</si>
  <si>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</si>
  <si>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</si>
  <si>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</si>
  <si>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</si>
  <si>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</si>
  <si>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</si>
  <si>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</si>
  <si>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</si>
  <si>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</si>
  <si>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</si>
  <si>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</si>
  <si>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</si>
  <si>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</si>
  <si>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</si>
  <si>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</si>
  <si>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</si>
  <si>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</si>
  <si>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</si>
  <si>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</si>
  <si>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</si>
  <si>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</si>
  <si>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</si>
  <si>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</si>
  <si>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</si>
  <si>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</si>
  <si>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</si>
  <si>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</si>
  <si>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</si>
  <si>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</si>
  <si>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</si>
  <si>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</si>
  <si>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</si>
  <si>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</si>
  <si>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</si>
  <si>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</si>
  <si>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</si>
  <si>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</si>
  <si>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</si>
  <si>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</si>
  <si>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</si>
  <si>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</si>
  <si>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</si>
  <si>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</si>
  <si>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</si>
  <si>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</si>
  <si>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</si>
  <si>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</si>
  <si>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</si>
  <si>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</si>
  <si>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</si>
  <si>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</si>
  <si>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</si>
  <si>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</si>
  <si>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</si>
  <si>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</si>
  <si>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</si>
  <si>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</si>
  <si>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</si>
  <si>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</si>
  <si>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</si>
  <si>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</si>
  <si>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</si>
  <si>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</si>
  <si>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</si>
  <si>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</si>
  <si>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</si>
  <si>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</si>
  <si>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</si>
  <si>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</si>
  <si>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</si>
  <si>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</si>
  <si>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</si>
  <si>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</si>
  <si>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</si>
  <si>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</si>
  <si>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</si>
  <si>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</si>
  <si>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</si>
  <si>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</si>
  <si>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</si>
  <si>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</si>
  <si>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</si>
  <si>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</si>
  <si>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</si>
  <si>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</si>
  <si>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</si>
  <si>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</si>
  <si>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</si>
  <si>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</si>
  <si>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</si>
  <si>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</si>
  <si>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</si>
  <si>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</si>
  <si>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</si>
  <si>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</si>
  <si>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</si>
  <si>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</si>
  <si>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</si>
  <si>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</si>
  <si>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</si>
  <si>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</si>
  <si>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</si>
  <si>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</si>
  <si>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</si>
  <si>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</si>
  <si>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</si>
  <si>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</si>
  <si>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</si>
  <si>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</si>
  <si>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</si>
  <si>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</si>
  <si>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</si>
  <si>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</si>
  <si>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</si>
  <si>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</si>
  <si>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</si>
  <si>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</si>
  <si>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</si>
  <si>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</si>
  <si>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</si>
  <si>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</si>
  <si>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</si>
  <si>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</si>
  <si>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</si>
  <si>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</si>
  <si>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</si>
  <si>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</si>
  <si>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</si>
  <si>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</si>
  <si>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</si>
  <si>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</si>
  <si>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</si>
  <si>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</si>
  <si>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</si>
  <si>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</si>
  <si>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</si>
  <si>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</si>
  <si>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</si>
  <si>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</si>
  <si>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</si>
  <si>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</si>
  <si>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</si>
  <si>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</si>
  <si>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</si>
  <si>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</si>
  <si>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</si>
  <si>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</si>
  <si>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</si>
  <si>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</si>
  <si>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</si>
  <si>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</si>
  <si>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</si>
  <si>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</si>
  <si>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</si>
  <si>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</si>
  <si>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</si>
  <si>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</si>
  <si>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</si>
  <si>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</si>
  <si>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</si>
  <si>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</si>
  <si>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</si>
  <si>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</si>
  <si>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</si>
  <si>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</si>
  <si>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</si>
  <si>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</si>
  <si>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</si>
  <si>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</si>
  <si>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</si>
  <si>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</si>
  <si>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</si>
  <si>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</si>
  <si>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</si>
  <si>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</si>
  <si>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</si>
  <si>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</si>
  <si>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</si>
  <si>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</si>
  <si>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</si>
  <si>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</si>
  <si>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</si>
  <si>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</si>
  <si>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</si>
  <si>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</si>
  <si>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</si>
  <si>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</si>
  <si>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</si>
  <si>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</si>
  <si>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</si>
  <si>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</si>
  <si>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</si>
  <si>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</si>
  <si>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</si>
  <si>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</si>
  <si>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</si>
  <si>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</si>
  <si>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</si>
  <si>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</si>
  <si>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</si>
  <si>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</si>
  <si>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</si>
  <si>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</si>
  <si>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</si>
  <si>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</si>
  <si>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</si>
  <si>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</si>
  <si>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</si>
  <si>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</si>
  <si>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</si>
  <si>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</si>
  <si>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</si>
  <si>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</si>
  <si>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</si>
  <si>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</si>
  <si>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</si>
  <si>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</si>
  <si>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</si>
  <si>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</si>
  <si>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</si>
  <si>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</si>
  <si>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</si>
  <si>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</si>
  <si>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</si>
  <si>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</si>
  <si>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</si>
  <si>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</si>
  <si>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</si>
  <si>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</si>
  <si>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</si>
  <si>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</si>
  <si>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</si>
  <si>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</si>
  <si>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</si>
  <si>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</si>
  <si>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</si>
  <si>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</si>
  <si>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</si>
  <si>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</si>
  <si>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</si>
  <si>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</si>
  <si>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</si>
  <si>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</si>
  <si>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</si>
  <si>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</si>
  <si>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</si>
  <si>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</si>
  <si>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</si>
  <si>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</si>
  <si>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</si>
  <si>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</si>
  <si>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</si>
  <si>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</si>
  <si>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</si>
  <si>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</si>
  <si>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</si>
  <si>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</si>
  <si>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</si>
  <si>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</si>
  <si>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</si>
  <si>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</si>
  <si>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</si>
  <si>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</si>
  <si>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</si>
  <si>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</si>
  <si>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</si>
  <si>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</si>
  <si>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</si>
  <si>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</si>
  <si>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</si>
  <si>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</si>
  <si>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</si>
  <si>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</si>
  <si>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</si>
  <si>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</si>
  <si>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</si>
  <si>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</si>
  <si>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</si>
  <si>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</si>
  <si>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</si>
  <si>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</si>
  <si>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</si>
  <si>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</si>
  <si>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</si>
  <si>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</si>
  <si>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</si>
  <si>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</si>
  <si>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</si>
  <si>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</si>
  <si>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</si>
  <si>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</si>
  <si>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</si>
  <si>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</si>
  <si>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</si>
  <si>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</si>
  <si>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</si>
  <si>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</si>
  <si>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</si>
  <si>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</si>
  <si>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</si>
  <si>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</si>
  <si>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</si>
  <si>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</si>
  <si>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</si>
  <si>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</si>
  <si>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</si>
  <si>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</si>
  <si>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</si>
  <si>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</si>
  <si>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</si>
  <si>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</si>
  <si>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</si>
  <si>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</si>
  <si>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</si>
  <si>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</si>
  <si>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</si>
  <si>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</si>
  <si>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</si>
  <si>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</si>
  <si>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</si>
  <si>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</si>
  <si>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</si>
  <si>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</si>
  <si>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</si>
  <si>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</si>
  <si>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</si>
  <si>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</si>
  <si>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</si>
  <si>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</si>
  <si>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</si>
  <si>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</si>
  <si>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</si>
  <si>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</si>
  <si>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</si>
  <si>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</si>
  <si>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</si>
  <si>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</si>
  <si>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</si>
  <si>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</si>
  <si>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</si>
  <si>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</si>
  <si>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</si>
  <si>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</si>
  <si>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</si>
  <si>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</si>
  <si>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</si>
  <si>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</si>
  <si>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</si>
  <si>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</si>
  <si>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</si>
  <si>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</si>
  <si>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</si>
  <si>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</si>
  <si>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</si>
  <si>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</si>
  <si>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</si>
  <si>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</si>
  <si>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</si>
  <si>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</si>
  <si>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</si>
  <si>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</si>
  <si>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</si>
  <si>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</si>
  <si>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</si>
  <si>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</si>
  <si>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</si>
  <si>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</si>
  <si>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</si>
  <si>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</si>
  <si>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</si>
  <si>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</si>
  <si>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</si>
  <si>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</si>
  <si>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</si>
  <si>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</si>
  <si>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</si>
  <si>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</si>
  <si>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</si>
  <si>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</si>
  <si>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</si>
  <si>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</si>
  <si>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</si>
  <si>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</si>
  <si>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</si>
  <si>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</si>
  <si>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</si>
  <si>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</si>
  <si>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</si>
  <si>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</si>
  <si>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</si>
  <si>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</si>
  <si>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</si>
  <si>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</si>
  <si>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</si>
  <si>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</si>
  <si>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</si>
  <si>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</si>
  <si>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</si>
  <si>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</si>
  <si>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</si>
  <si>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</si>
  <si>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</si>
  <si>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</si>
  <si>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</si>
  <si>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</si>
  <si>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</si>
  <si>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</si>
  <si>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</si>
  <si>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</si>
  <si>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</si>
  <si>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</si>
  <si>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</si>
  <si>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</si>
  <si>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</si>
  <si>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</si>
  <si>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</si>
  <si>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</si>
  <si>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</si>
  <si>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</si>
  <si>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</si>
  <si>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</si>
  <si>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</si>
  <si>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</si>
  <si>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</si>
  <si>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</si>
  <si>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</si>
  <si>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</si>
  <si>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</si>
  <si>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</si>
  <si>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</si>
  <si>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</si>
  <si>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</si>
  <si>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</si>
  <si>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</si>
  <si>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</si>
  <si>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</si>
  <si>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</si>
  <si>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</si>
  <si>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</si>
  <si>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</si>
  <si>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</si>
  <si>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</si>
  <si>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</si>
  <si>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</si>
  <si>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</si>
  <si>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</si>
  <si>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</si>
  <si>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</si>
  <si>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</si>
  <si>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</si>
  <si>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</si>
  <si>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</si>
  <si>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</si>
  <si>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</si>
  <si>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</si>
  <si>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</si>
  <si>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</si>
  <si>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</si>
  <si>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</si>
  <si>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</si>
  <si>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</si>
  <si>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</si>
  <si>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</si>
  <si>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</si>
  <si>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</si>
  <si>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</si>
  <si>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</si>
  <si>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</si>
  <si>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</si>
  <si>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</si>
  <si>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</si>
  <si>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</si>
  <si>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</si>
  <si>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</si>
  <si>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</si>
  <si>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</si>
  <si>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</si>
  <si>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</si>
  <si>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</si>
  <si>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</si>
  <si>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</si>
  <si>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</si>
  <si>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</si>
  <si>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</si>
  <si>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</si>
  <si>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</si>
  <si>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</si>
  <si>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</si>
  <si>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</si>
  <si>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</si>
  <si>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</si>
  <si>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</si>
  <si>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</si>
  <si>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</si>
  <si>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</si>
  <si>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</si>
  <si>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</si>
  <si>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</si>
  <si>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</si>
  <si>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</si>
  <si>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</si>
  <si>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</si>
  <si>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</si>
  <si>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</si>
  <si>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</si>
  <si>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</si>
  <si>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</si>
  <si>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</si>
  <si>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</si>
  <si>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</si>
  <si>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</si>
  <si>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</si>
  <si>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</si>
  <si>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</si>
  <si>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</si>
  <si>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</si>
  <si>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</si>
  <si>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</si>
  <si>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</si>
  <si>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</si>
  <si>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</si>
  <si>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</si>
  <si>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</si>
  <si>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</si>
  <si>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</si>
  <si>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</si>
  <si>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</si>
  <si>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</si>
  <si>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</si>
  <si>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</si>
  <si>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</si>
  <si>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</si>
  <si>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</si>
  <si>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</si>
  <si>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</si>
  <si>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</si>
  <si>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</si>
  <si>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</si>
  <si>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</si>
  <si>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</si>
  <si>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</si>
  <si>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</si>
  <si>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</si>
  <si>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</si>
  <si>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</si>
  <si>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</si>
  <si>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</si>
  <si>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</si>
  <si>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</si>
  <si>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</si>
  <si>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</si>
  <si>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</si>
  <si>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</si>
  <si>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</si>
  <si>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</si>
  <si>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</si>
  <si>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</si>
  <si>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</si>
  <si>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</si>
  <si>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</si>
  <si>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</si>
  <si>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</si>
  <si>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</si>
  <si>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</si>
  <si>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</si>
  <si>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</si>
  <si>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</si>
  <si>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</si>
  <si>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</si>
  <si>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</si>
  <si>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</si>
  <si>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</si>
  <si>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</si>
  <si>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</si>
  <si>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</si>
  <si>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</si>
  <si>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</si>
  <si>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</si>
  <si>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</si>
  <si>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</si>
  <si>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</si>
  <si>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</si>
  <si>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</si>
  <si>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</si>
  <si>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</si>
  <si>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</si>
  <si>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</si>
  <si>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</si>
  <si>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</si>
  <si>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</si>
  <si>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</si>
  <si>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</si>
  <si>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</si>
  <si>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</si>
  <si>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</si>
  <si>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</si>
  <si>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</si>
  <si>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</si>
  <si>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</si>
  <si>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</si>
  <si>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</si>
  <si>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</si>
  <si>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</si>
  <si>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</si>
  <si>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</si>
  <si>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</si>
  <si>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</si>
  <si>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</si>
  <si>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</si>
  <si>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</si>
  <si>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</si>
  <si>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</si>
  <si>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</si>
  <si>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</si>
  <si>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</si>
  <si>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</si>
  <si>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</si>
  <si>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</si>
  <si>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</si>
  <si>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</si>
  <si>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</si>
  <si>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</si>
  <si>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</si>
  <si>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</si>
  <si>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</si>
  <si>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</si>
  <si>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</si>
  <si>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</si>
  <si>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</si>
  <si>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</si>
  <si>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</si>
  <si>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</si>
  <si>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</si>
  <si>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</si>
  <si>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</si>
  <si>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</si>
  <si>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</si>
  <si>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</si>
  <si>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</si>
  <si>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</si>
  <si>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</si>
  <si>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</si>
  <si>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</si>
  <si>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</si>
  <si>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</si>
  <si>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</si>
  <si>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</si>
  <si>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</si>
  <si>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</si>
  <si>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</si>
  <si>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</si>
  <si>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</si>
  <si>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</si>
  <si>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</si>
  <si>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</si>
  <si>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</si>
  <si>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</si>
  <si>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</si>
  <si>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</si>
  <si>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</si>
  <si>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</si>
  <si>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</si>
  <si>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</si>
  <si>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</si>
  <si>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</si>
  <si>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</si>
  <si>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</si>
  <si>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</si>
  <si>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</si>
  <si>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</si>
  <si>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</si>
  <si>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</si>
  <si>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</si>
  <si>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</si>
  <si>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</si>
  <si>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</si>
  <si>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</si>
  <si>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</si>
  <si>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</si>
  <si>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</si>
  <si>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</si>
  <si>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</si>
  <si>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</si>
  <si>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</si>
  <si>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</si>
  <si>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</si>
  <si>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</si>
  <si>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</si>
  <si>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</si>
  <si>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</si>
  <si>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</si>
  <si>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</si>
  <si>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</si>
  <si>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</si>
  <si>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</si>
  <si>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</si>
  <si>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</si>
  <si>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</si>
  <si>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</si>
  <si>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</si>
  <si>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</si>
  <si>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</si>
  <si>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</si>
  <si>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</si>
  <si>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</si>
  <si>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37020</t>
  </si>
  <si>
    <t>ARDOOIE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</si>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</sst>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609E13E7-1E96-4610-BEA5-A8BBC633D71B}"/>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37020</v>
      </c>
      <c r="B6" s="384"/>
      <c r="C6" s="385"/>
    </row>
    <row r="7" spans="1:7" s="382" customFormat="1" ht="15.75" customHeight="1">
      <c r="A7" s="386" t="str">
        <f>txtMunicipality</f>
        <v>ARDOOIE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0.21505550391472217</v>
      </c>
      <c r="C17" s="496">
        <f ca="1">'EF ele_warmte'!B22</f>
        <v>0.2215194249341528</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0.21505550391472217</v>
      </c>
      <c r="C29" s="497">
        <f ca="1">'EF ele_warmte'!B22</f>
        <v>0.2215194249341528</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3700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2245</v>
      </c>
      <c r="C14" s="327"/>
      <c r="D14" s="327"/>
      <c r="E14" s="327"/>
      <c r="F14" s="327"/>
    </row>
    <row r="15" spans="1:6">
      <c r="A15" s="1258" t="s">
        <v>177</v>
      </c>
      <c r="B15" s="1259">
        <v>22</v>
      </c>
      <c r="C15" s="327"/>
      <c r="D15" s="327"/>
      <c r="E15" s="327"/>
      <c r="F15" s="327"/>
    </row>
    <row r="16" spans="1:6">
      <c r="A16" s="1258" t="s">
        <v>6</v>
      </c>
      <c r="B16" s="1259">
        <v>621</v>
      </c>
      <c r="C16" s="327"/>
      <c r="D16" s="327"/>
      <c r="E16" s="327"/>
      <c r="F16" s="327"/>
    </row>
    <row r="17" spans="1:6">
      <c r="A17" s="1258" t="s">
        <v>7</v>
      </c>
      <c r="B17" s="1259">
        <v>582</v>
      </c>
      <c r="C17" s="327"/>
      <c r="D17" s="327"/>
      <c r="E17" s="327"/>
      <c r="F17" s="327"/>
    </row>
    <row r="18" spans="1:6">
      <c r="A18" s="1258" t="s">
        <v>8</v>
      </c>
      <c r="B18" s="1259">
        <v>792</v>
      </c>
      <c r="C18" s="327"/>
      <c r="D18" s="327"/>
      <c r="E18" s="327"/>
      <c r="F18" s="327"/>
    </row>
    <row r="19" spans="1:6">
      <c r="A19" s="1258" t="s">
        <v>9</v>
      </c>
      <c r="B19" s="1259">
        <v>870</v>
      </c>
      <c r="C19" s="327"/>
      <c r="D19" s="327"/>
      <c r="E19" s="327"/>
      <c r="F19" s="327"/>
    </row>
    <row r="20" spans="1:6">
      <c r="A20" s="1258" t="s">
        <v>10</v>
      </c>
      <c r="B20" s="1259">
        <v>668</v>
      </c>
      <c r="C20" s="327"/>
      <c r="D20" s="327"/>
      <c r="E20" s="327"/>
      <c r="F20" s="327"/>
    </row>
    <row r="21" spans="1:6">
      <c r="A21" s="1258" t="s">
        <v>11</v>
      </c>
      <c r="B21" s="1259">
        <v>21751</v>
      </c>
      <c r="C21" s="327"/>
      <c r="D21" s="327"/>
      <c r="E21" s="327"/>
      <c r="F21" s="327"/>
    </row>
    <row r="22" spans="1:6">
      <c r="A22" s="1258" t="s">
        <v>12</v>
      </c>
      <c r="B22" s="1259">
        <v>68814</v>
      </c>
      <c r="C22" s="327"/>
      <c r="D22" s="327"/>
      <c r="E22" s="327"/>
      <c r="F22" s="327"/>
    </row>
    <row r="23" spans="1:6">
      <c r="A23" s="1258" t="s">
        <v>13</v>
      </c>
      <c r="B23" s="1259">
        <v>888</v>
      </c>
      <c r="C23" s="327"/>
      <c r="D23" s="327"/>
      <c r="E23" s="327"/>
      <c r="F23" s="327"/>
    </row>
    <row r="24" spans="1:6">
      <c r="A24" s="1258" t="s">
        <v>14</v>
      </c>
      <c r="B24" s="1259">
        <v>41</v>
      </c>
      <c r="C24" s="327"/>
      <c r="D24" s="327"/>
      <c r="E24" s="327"/>
      <c r="F24" s="327"/>
    </row>
    <row r="25" spans="1:6">
      <c r="A25" s="1258" t="s">
        <v>15</v>
      </c>
      <c r="B25" s="1259">
        <v>5320</v>
      </c>
      <c r="C25" s="327"/>
      <c r="D25" s="327"/>
      <c r="E25" s="327"/>
      <c r="F25" s="327"/>
    </row>
    <row r="26" spans="1:6">
      <c r="A26" s="1258" t="s">
        <v>16</v>
      </c>
      <c r="B26" s="1259">
        <v>36</v>
      </c>
      <c r="C26" s="327"/>
      <c r="D26" s="327"/>
      <c r="E26" s="327"/>
      <c r="F26" s="327"/>
    </row>
    <row r="27" spans="1:6">
      <c r="A27" s="1258" t="s">
        <v>17</v>
      </c>
      <c r="B27" s="1259">
        <v>0</v>
      </c>
      <c r="C27" s="327"/>
      <c r="D27" s="327"/>
      <c r="E27" s="327"/>
      <c r="F27" s="327"/>
    </row>
    <row r="28" spans="1:6">
      <c r="A28" s="1258" t="s">
        <v>18</v>
      </c>
      <c r="B28" s="1260">
        <v>329103</v>
      </c>
      <c r="C28" s="327"/>
      <c r="D28" s="327"/>
      <c r="E28" s="327"/>
      <c r="F28" s="327"/>
    </row>
    <row r="29" spans="1:6">
      <c r="A29" s="1258" t="s">
        <v>939</v>
      </c>
      <c r="B29" s="1260">
        <v>104</v>
      </c>
      <c r="C29" s="327"/>
      <c r="D29" s="327"/>
      <c r="E29" s="327"/>
      <c r="F29" s="327"/>
    </row>
    <row r="30" spans="1:6">
      <c r="A30" s="1253" t="s">
        <v>940</v>
      </c>
      <c r="B30" s="1261">
        <v>15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1264.6280713604999</v>
      </c>
    </row>
    <row r="39" spans="1:6">
      <c r="A39" s="1258" t="s">
        <v>29</v>
      </c>
      <c r="B39" s="1258" t="s">
        <v>30</v>
      </c>
      <c r="C39" s="1259">
        <v>1988</v>
      </c>
      <c r="D39" s="1259">
        <v>35411239.358194903</v>
      </c>
      <c r="E39" s="1259">
        <v>3384</v>
      </c>
      <c r="F39" s="1259">
        <v>14476418.2955733</v>
      </c>
    </row>
    <row r="40" spans="1:6">
      <c r="A40" s="1258" t="s">
        <v>29</v>
      </c>
      <c r="B40" s="1258" t="s">
        <v>28</v>
      </c>
      <c r="C40" s="1259">
        <v>0</v>
      </c>
      <c r="D40" s="1259">
        <v>0</v>
      </c>
      <c r="E40" s="1259">
        <v>0</v>
      </c>
      <c r="F40" s="1259">
        <v>0</v>
      </c>
    </row>
    <row r="41" spans="1:6">
      <c r="A41" s="1258" t="s">
        <v>31</v>
      </c>
      <c r="B41" s="1258" t="s">
        <v>32</v>
      </c>
      <c r="C41" s="1259">
        <v>39</v>
      </c>
      <c r="D41" s="1259">
        <v>996294.30506861198</v>
      </c>
      <c r="E41" s="1259">
        <v>105</v>
      </c>
      <c r="F41" s="1259">
        <v>2838205.7675569998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83335.056674745894</v>
      </c>
      <c r="E44" s="1259">
        <v>13</v>
      </c>
      <c r="F44" s="1259">
        <v>460665.896368713</v>
      </c>
    </row>
    <row r="45" spans="1:6">
      <c r="A45" s="1258" t="s">
        <v>31</v>
      </c>
      <c r="B45" s="1258" t="s">
        <v>36</v>
      </c>
      <c r="C45" s="1259">
        <v>0</v>
      </c>
      <c r="D45" s="1259">
        <v>0</v>
      </c>
      <c r="E45" s="1259">
        <v>3</v>
      </c>
      <c r="F45" s="1259">
        <v>219712.77593387201</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37</v>
      </c>
      <c r="D48" s="1259">
        <v>55043950.645158999</v>
      </c>
      <c r="E48" s="1259">
        <v>51</v>
      </c>
      <c r="F48" s="1259">
        <v>77786447.358504906</v>
      </c>
    </row>
    <row r="49" spans="1:6">
      <c r="A49" s="1258" t="s">
        <v>31</v>
      </c>
      <c r="B49" s="1258" t="s">
        <v>39</v>
      </c>
      <c r="C49" s="1259">
        <v>3</v>
      </c>
      <c r="D49" s="1259">
        <v>60421.806819222802</v>
      </c>
      <c r="E49" s="1259">
        <v>3</v>
      </c>
      <c r="F49" s="1259">
        <v>192096.79601975699</v>
      </c>
    </row>
    <row r="50" spans="1:6">
      <c r="A50" s="1258" t="s">
        <v>31</v>
      </c>
      <c r="B50" s="1258" t="s">
        <v>40</v>
      </c>
      <c r="C50" s="1259">
        <v>8</v>
      </c>
      <c r="D50" s="1259">
        <v>73577141.184607103</v>
      </c>
      <c r="E50" s="1259">
        <v>11</v>
      </c>
      <c r="F50" s="1259">
        <v>135179210.09922901</v>
      </c>
    </row>
    <row r="51" spans="1:6">
      <c r="A51" s="1258" t="s">
        <v>41</v>
      </c>
      <c r="B51" s="1258" t="s">
        <v>42</v>
      </c>
      <c r="C51" s="1259">
        <v>9</v>
      </c>
      <c r="D51" s="1259">
        <v>185934.39353161099</v>
      </c>
      <c r="E51" s="1259">
        <v>194</v>
      </c>
      <c r="F51" s="1259">
        <v>5796460.09390854</v>
      </c>
    </row>
    <row r="52" spans="1:6">
      <c r="A52" s="1258" t="s">
        <v>41</v>
      </c>
      <c r="B52" s="1258" t="s">
        <v>28</v>
      </c>
      <c r="C52" s="1259">
        <v>8</v>
      </c>
      <c r="D52" s="1259">
        <v>22644456.020700701</v>
      </c>
      <c r="E52" s="1259">
        <v>13</v>
      </c>
      <c r="F52" s="1259">
        <v>1515204.0189425</v>
      </c>
    </row>
    <row r="53" spans="1:6">
      <c r="A53" s="1258" t="s">
        <v>43</v>
      </c>
      <c r="B53" s="1258" t="s">
        <v>44</v>
      </c>
      <c r="C53" s="1259">
        <v>54</v>
      </c>
      <c r="D53" s="1259">
        <v>1199621.9775713901</v>
      </c>
      <c r="E53" s="1259">
        <v>122</v>
      </c>
      <c r="F53" s="1259">
        <v>752336.56952523196</v>
      </c>
    </row>
    <row r="54" spans="1:6">
      <c r="A54" s="1258" t="s">
        <v>45</v>
      </c>
      <c r="B54" s="1258" t="s">
        <v>46</v>
      </c>
      <c r="C54" s="1259">
        <v>0</v>
      </c>
      <c r="D54" s="1259">
        <v>0</v>
      </c>
      <c r="E54" s="1259">
        <v>1</v>
      </c>
      <c r="F54" s="1259">
        <v>626048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15</v>
      </c>
      <c r="D57" s="1259">
        <v>358791.15005707397</v>
      </c>
      <c r="E57" s="1259">
        <v>38</v>
      </c>
      <c r="F57" s="1259">
        <v>431966.45182902401</v>
      </c>
    </row>
    <row r="58" spans="1:6">
      <c r="A58" s="1258" t="s">
        <v>48</v>
      </c>
      <c r="B58" s="1258" t="s">
        <v>50</v>
      </c>
      <c r="C58" s="1259">
        <v>7</v>
      </c>
      <c r="D58" s="1259">
        <v>1144802.3773306201</v>
      </c>
      <c r="E58" s="1259">
        <v>15</v>
      </c>
      <c r="F58" s="1259">
        <v>507816.68322138401</v>
      </c>
    </row>
    <row r="59" spans="1:6">
      <c r="A59" s="1258" t="s">
        <v>48</v>
      </c>
      <c r="B59" s="1258" t="s">
        <v>51</v>
      </c>
      <c r="C59" s="1259">
        <v>12</v>
      </c>
      <c r="D59" s="1259">
        <v>283342.25514063198</v>
      </c>
      <c r="E59" s="1259">
        <v>85</v>
      </c>
      <c r="F59" s="1259">
        <v>4026902.9681734801</v>
      </c>
    </row>
    <row r="60" spans="1:6">
      <c r="A60" s="1258" t="s">
        <v>48</v>
      </c>
      <c r="B60" s="1258" t="s">
        <v>52</v>
      </c>
      <c r="C60" s="1259">
        <v>26</v>
      </c>
      <c r="D60" s="1259">
        <v>868190.67361247097</v>
      </c>
      <c r="E60" s="1259">
        <v>38</v>
      </c>
      <c r="F60" s="1259">
        <v>619613.37433710997</v>
      </c>
    </row>
    <row r="61" spans="1:6">
      <c r="A61" s="1258" t="s">
        <v>48</v>
      </c>
      <c r="B61" s="1258" t="s">
        <v>53</v>
      </c>
      <c r="C61" s="1259">
        <v>46</v>
      </c>
      <c r="D61" s="1259">
        <v>3291331.58749075</v>
      </c>
      <c r="E61" s="1259">
        <v>119</v>
      </c>
      <c r="F61" s="1259">
        <v>1137273.7475416099</v>
      </c>
    </row>
    <row r="62" spans="1:6">
      <c r="A62" s="1258" t="s">
        <v>48</v>
      </c>
      <c r="B62" s="1258" t="s">
        <v>54</v>
      </c>
      <c r="C62" s="1259">
        <v>7</v>
      </c>
      <c r="D62" s="1259">
        <v>328027.20207929402</v>
      </c>
      <c r="E62" s="1259">
        <v>4</v>
      </c>
      <c r="F62" s="1259">
        <v>37484.952686889897</v>
      </c>
    </row>
    <row r="63" spans="1:6">
      <c r="A63" s="1258" t="s">
        <v>48</v>
      </c>
      <c r="B63" s="1258" t="s">
        <v>28</v>
      </c>
      <c r="C63" s="1259">
        <v>93</v>
      </c>
      <c r="D63" s="1259">
        <v>32334472.472127501</v>
      </c>
      <c r="E63" s="1259">
        <v>137</v>
      </c>
      <c r="F63" s="1259">
        <v>2587991.1041460601</v>
      </c>
    </row>
    <row r="64" spans="1:6">
      <c r="A64" s="1258" t="s">
        <v>55</v>
      </c>
      <c r="B64" s="1258" t="s">
        <v>56</v>
      </c>
      <c r="C64" s="1259">
        <v>0</v>
      </c>
      <c r="D64" s="1259">
        <v>0</v>
      </c>
      <c r="E64" s="1259">
        <v>0</v>
      </c>
      <c r="F64" s="1259">
        <v>0</v>
      </c>
    </row>
    <row r="65" spans="1:6">
      <c r="A65" s="1258" t="s">
        <v>55</v>
      </c>
      <c r="B65" s="1258" t="s">
        <v>28</v>
      </c>
      <c r="C65" s="1259">
        <v>1</v>
      </c>
      <c r="D65" s="1259">
        <v>25843.116258924802</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14</v>
      </c>
      <c r="F68" s="1261">
        <v>163590.36846363201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53541444</v>
      </c>
      <c r="E73" s="445"/>
      <c r="F73" s="327"/>
    </row>
    <row r="74" spans="1:6">
      <c r="A74" s="1258" t="s">
        <v>63</v>
      </c>
      <c r="B74" s="1258" t="s">
        <v>724</v>
      </c>
      <c r="C74" s="1271" t="s">
        <v>718</v>
      </c>
      <c r="D74" s="1259">
        <v>6189719.375394579</v>
      </c>
      <c r="E74" s="445"/>
      <c r="F74" s="327"/>
    </row>
    <row r="75" spans="1:6">
      <c r="A75" s="1258" t="s">
        <v>64</v>
      </c>
      <c r="B75" s="1258" t="s">
        <v>723</v>
      </c>
      <c r="C75" s="1271" t="s">
        <v>719</v>
      </c>
      <c r="D75" s="1259">
        <v>19393660</v>
      </c>
      <c r="E75" s="445"/>
      <c r="F75" s="327"/>
    </row>
    <row r="76" spans="1:6">
      <c r="A76" s="1258" t="s">
        <v>64</v>
      </c>
      <c r="B76" s="1258" t="s">
        <v>724</v>
      </c>
      <c r="C76" s="1271" t="s">
        <v>720</v>
      </c>
      <c r="D76" s="1259">
        <v>1984676.375394579</v>
      </c>
      <c r="E76" s="445"/>
      <c r="F76" s="327"/>
    </row>
    <row r="77" spans="1:6">
      <c r="A77" s="1258" t="s">
        <v>65</v>
      </c>
      <c r="B77" s="1258" t="s">
        <v>723</v>
      </c>
      <c r="C77" s="1271" t="s">
        <v>721</v>
      </c>
      <c r="D77" s="1259">
        <v>75527254</v>
      </c>
      <c r="E77" s="445"/>
      <c r="F77" s="327"/>
    </row>
    <row r="78" spans="1:6">
      <c r="A78" s="1253" t="s">
        <v>65</v>
      </c>
      <c r="B78" s="1253" t="s">
        <v>724</v>
      </c>
      <c r="C78" s="1253" t="s">
        <v>722</v>
      </c>
      <c r="D78" s="1261">
        <v>12072279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283077.24921084195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1870.3468195744886</v>
      </c>
      <c r="C91" s="327"/>
      <c r="D91" s="327"/>
      <c r="E91" s="327"/>
      <c r="F91" s="327"/>
    </row>
    <row r="92" spans="1:6">
      <c r="A92" s="1253" t="s">
        <v>68</v>
      </c>
      <c r="B92" s="1254">
        <v>4952.310937353277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1406</v>
      </c>
      <c r="C97" s="327"/>
      <c r="D97" s="327"/>
      <c r="E97" s="327"/>
      <c r="F97" s="327"/>
    </row>
    <row r="98" spans="1:6">
      <c r="A98" s="1258" t="s">
        <v>71</v>
      </c>
      <c r="B98" s="1259">
        <v>0</v>
      </c>
      <c r="C98" s="327"/>
      <c r="D98" s="327"/>
      <c r="E98" s="327"/>
      <c r="F98" s="327"/>
    </row>
    <row r="99" spans="1:6">
      <c r="A99" s="1258" t="s">
        <v>72</v>
      </c>
      <c r="B99" s="1259">
        <v>175</v>
      </c>
      <c r="C99" s="327"/>
      <c r="D99" s="327"/>
      <c r="E99" s="327"/>
      <c r="F99" s="327"/>
    </row>
    <row r="100" spans="1:6">
      <c r="A100" s="1258" t="s">
        <v>73</v>
      </c>
      <c r="B100" s="1259">
        <v>246</v>
      </c>
      <c r="C100" s="327"/>
      <c r="D100" s="327"/>
      <c r="E100" s="327"/>
      <c r="F100" s="327"/>
    </row>
    <row r="101" spans="1:6">
      <c r="A101" s="1258" t="s">
        <v>74</v>
      </c>
      <c r="B101" s="1259">
        <v>105</v>
      </c>
      <c r="C101" s="327"/>
      <c r="D101" s="327"/>
      <c r="E101" s="327"/>
      <c r="F101" s="327"/>
    </row>
    <row r="102" spans="1:6">
      <c r="A102" s="1258" t="s">
        <v>75</v>
      </c>
      <c r="B102" s="1259">
        <v>75</v>
      </c>
      <c r="C102" s="327"/>
      <c r="D102" s="327"/>
      <c r="E102" s="327"/>
      <c r="F102" s="327"/>
    </row>
    <row r="103" spans="1:6">
      <c r="A103" s="1258" t="s">
        <v>76</v>
      </c>
      <c r="B103" s="1259">
        <v>138</v>
      </c>
      <c r="C103" s="327"/>
      <c r="D103" s="327"/>
      <c r="E103" s="327"/>
      <c r="F103" s="327"/>
    </row>
    <row r="104" spans="1:6">
      <c r="A104" s="1258" t="s">
        <v>77</v>
      </c>
      <c r="B104" s="1259">
        <v>1332</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3</v>
      </c>
      <c r="D123" s="327"/>
      <c r="E123" s="327"/>
      <c r="F123" s="327"/>
    </row>
    <row r="124" spans="1:6">
      <c r="A124" s="1258" t="s">
        <v>88</v>
      </c>
      <c r="B124" s="1259">
        <v>1</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41</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252383.08262152068</v>
      </c>
      <c r="C3" s="44" t="s">
        <v>163</v>
      </c>
      <c r="D3" s="44"/>
      <c r="E3" s="157"/>
      <c r="F3" s="44"/>
      <c r="G3" s="44"/>
      <c r="H3" s="44"/>
      <c r="I3" s="44"/>
      <c r="J3" s="44"/>
      <c r="K3" s="97"/>
    </row>
    <row r="4" spans="1:11">
      <c r="A4" s="352" t="s">
        <v>164</v>
      </c>
      <c r="B4" s="50">
        <f>IF(ISERROR('SEAP template'!B78+'SEAP template'!C78),0,'SEAP template'!B78+'SEAP template'!C78)</f>
        <v>21294.657756927765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3205.8291176470593</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0.21505550391472217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4579.7558823529416</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20674.285714285714</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0.2215194249341528</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626.048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626.048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0.21505550391472217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134.63506811480397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14476.418295573299</v>
      </c>
      <c r="C5" s="18">
        <f>IF(ISERROR('Eigen informatie GS &amp; warmtenet'!B57),0,'Eigen informatie GS &amp; warmtenet'!B57)</f>
        <v>0</v>
      </c>
      <c r="D5" s="31">
        <f>(SUM(HH_hh_gas_kWh,HH_rest_gas_kWh)/1000)*0.902</f>
        <v>31940.937901091802</v>
      </c>
      <c r="E5" s="18">
        <f>B32*B41</f>
        <v>937.46663030865125</v>
      </c>
      <c r="F5" s="18">
        <f>B36*B45</f>
        <v>28580.635815122576</v>
      </c>
      <c r="G5" s="19"/>
      <c r="H5" s="18"/>
      <c r="I5" s="18"/>
      <c r="J5" s="18">
        <f>B35*B44+C35*C44</f>
        <v>518.58567806191741</v>
      </c>
      <c r="K5" s="18"/>
      <c r="L5" s="18"/>
      <c r="M5" s="18"/>
      <c r="N5" s="18">
        <f>B34*B43+C34*C43</f>
        <v>5441.9598992935125</v>
      </c>
      <c r="O5" s="18">
        <f>B52*B53*B54</f>
        <v>70.350000000000009</v>
      </c>
      <c r="P5" s="18">
        <f>B60*B61*B62/1000-B60*B61*B62/1000/B63</f>
        <v>171.6</v>
      </c>
    </row>
    <row r="6" spans="1:16">
      <c r="A6" s="17" t="s">
        <v>597</v>
      </c>
      <c r="B6" s="731">
        <f>kWh_PV_kleiner_dan_10kW</f>
        <v>1870.3468195744886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16346.765115147788</v>
      </c>
      <c r="C8" s="22">
        <f>C5</f>
        <v>0</v>
      </c>
      <c r="D8" s="22">
        <f>D5</f>
        <v>31940.937901091802</v>
      </c>
      <c r="E8" s="22">
        <f>E5</f>
        <v>937.46663030865125</v>
      </c>
      <c r="F8" s="22">
        <f>F5</f>
        <v>28580.635815122576</v>
      </c>
      <c r="G8" s="22"/>
      <c r="H8" s="22"/>
      <c r="I8" s="22"/>
      <c r="J8" s="22">
        <f>J5</f>
        <v>518.58567806191741</v>
      </c>
      <c r="K8" s="22"/>
      <c r="L8" s="22">
        <f>L5</f>
        <v>0</v>
      </c>
      <c r="M8" s="22">
        <f>M5</f>
        <v>0</v>
      </c>
      <c r="N8" s="22">
        <f>N5</f>
        <v>5441.9598992935125</v>
      </c>
      <c r="O8" s="22">
        <f>O5</f>
        <v>70.350000000000009</v>
      </c>
      <c r="P8" s="22">
        <f>P5</f>
        <v>171.6</v>
      </c>
    </row>
    <row r="9" spans="1:16">
      <c r="B9" s="20"/>
      <c r="C9" s="20"/>
      <c r="D9" s="258"/>
      <c r="E9" s="20"/>
      <c r="F9" s="20"/>
      <c r="G9" s="20"/>
      <c r="H9" s="20"/>
      <c r="I9" s="20"/>
      <c r="J9" s="20"/>
      <c r="K9" s="20"/>
      <c r="L9" s="20"/>
      <c r="M9" s="20"/>
      <c r="N9" s="20"/>
      <c r="O9" s="20"/>
      <c r="P9" s="20"/>
    </row>
    <row r="10" spans="1:16">
      <c r="A10" s="25" t="s">
        <v>207</v>
      </c>
      <c r="B10" s="26">
        <f ca="1">'EF ele_warmte'!B12</f>
        <v>0.21505550391472217</v>
      </c>
      <c r="C10" s="26">
        <f ca="1">'EF ele_warmte'!B22</f>
        <v>0.2215194249341528</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3515.4618092137089</v>
      </c>
      <c r="C12" s="24">
        <f ca="1">C10*C8</f>
        <v>0</v>
      </c>
      <c r="D12" s="24">
        <f>D8*D10</f>
        <v>6452.0694560205447</v>
      </c>
      <c r="E12" s="24">
        <f>E10*E8</f>
        <v>212.80492508006384</v>
      </c>
      <c r="F12" s="24">
        <f>F10*F8</f>
        <v>7631.0297626377278</v>
      </c>
      <c r="G12" s="24"/>
      <c r="H12" s="24"/>
      <c r="I12" s="24"/>
      <c r="J12" s="24">
        <f>J10*J8</f>
        <v>183.57933003391875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3700</v>
      </c>
      <c r="C26" s="37"/>
      <c r="D26" s="228"/>
    </row>
    <row r="27" spans="1:5" s="16" customFormat="1">
      <c r="A27" s="230" t="s">
        <v>623</v>
      </c>
      <c r="B27" s="38">
        <f>SUM(HH_hh_gas_aantal,HH_rest_gas_aantal)</f>
        <v>1988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1888.6</v>
      </c>
      <c r="C31" s="35" t="s">
        <v>104</v>
      </c>
      <c r="D31" s="174"/>
    </row>
    <row r="32" spans="1:5">
      <c r="A32" s="171" t="s">
        <v>72</v>
      </c>
      <c r="B32" s="34">
        <f>IF((B21*($B$26-($B$27-0.05*$B$27)-$B$60))&lt;0,0,B21*($B$26-($B$27-0.05*$B$27)-$B$60))</f>
        <v>44.294575816427837</v>
      </c>
      <c r="C32" s="35" t="s">
        <v>104</v>
      </c>
      <c r="D32" s="174"/>
    </row>
    <row r="33" spans="1:6">
      <c r="A33" s="171" t="s">
        <v>73</v>
      </c>
      <c r="B33" s="34">
        <f>IF((B22*($B$26-($B$27-0.05*$B$27)-$B$60))&lt;0,0,B22*($B$26-($B$27-0.05*$B$27)-$B$60))</f>
        <v>298.15444567298607</v>
      </c>
      <c r="C33" s="35" t="s">
        <v>104</v>
      </c>
      <c r="D33" s="174"/>
    </row>
    <row r="34" spans="1:6">
      <c r="A34" s="171" t="s">
        <v>74</v>
      </c>
      <c r="B34" s="34">
        <f>IF((B24*($B$26-($B$27-0.05*$B$27)-$B$60))&lt;0,0,B24*($B$26-($B$27-0.05*$B$27)-$B$60))</f>
        <v>75.618251948940681</v>
      </c>
      <c r="C34" s="34">
        <f>B26*C24</f>
        <v>756.65861237556737</v>
      </c>
      <c r="D34" s="233"/>
    </row>
    <row r="35" spans="1:6">
      <c r="A35" s="171" t="s">
        <v>76</v>
      </c>
      <c r="B35" s="34">
        <f>IF((B19*($B$26-($B$27-0.05*$B$27)-$B$60))&lt;0,0,B19*($B$26-($B$27-0.05*$B$27)-$B$60))</f>
        <v>28.11247306703121</v>
      </c>
      <c r="C35" s="34">
        <f>B35/2</f>
        <v>14.056236533515605</v>
      </c>
      <c r="D35" s="233"/>
    </row>
    <row r="36" spans="1:6">
      <c r="A36" s="171" t="s">
        <v>77</v>
      </c>
      <c r="B36" s="34">
        <f>IF((B18*($B$26-($B$27-0.05*$B$27)-$B$60))&lt;0,0,B18*($B$26-($B$27-0.05*$B$27)-$B$60))</f>
        <v>1356.2202534946139</v>
      </c>
      <c r="C36" s="35" t="s">
        <v>104</v>
      </c>
      <c r="D36" s="174"/>
    </row>
    <row r="37" spans="1:6">
      <c r="A37" s="171" t="s">
        <v>78</v>
      </c>
      <c r="B37" s="34">
        <f>B60</f>
        <v>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45</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9349.0492819355568</v>
      </c>
      <c r="C5" s="18">
        <f>IF(ISERROR('Eigen informatie GS &amp; warmtenet'!B58),0,'Eigen informatie GS &amp; warmtenet'!B58)</f>
        <v>0</v>
      </c>
      <c r="D5" s="31">
        <f>SUM(D6:D12)</f>
        <v>34825.279861490184</v>
      </c>
      <c r="E5" s="18">
        <f>SUM(E6:E12)</f>
        <v>81.345164627681157</v>
      </c>
      <c r="F5" s="18">
        <f>SUM(F6:F12)</f>
        <v>1841.3531244173107</v>
      </c>
      <c r="G5" s="19"/>
      <c r="H5" s="18"/>
      <c r="I5" s="18"/>
      <c r="J5" s="18">
        <f>SUM(J6:J12)</f>
        <v>0</v>
      </c>
      <c r="K5" s="18"/>
      <c r="L5" s="18"/>
      <c r="M5" s="18"/>
      <c r="N5" s="18">
        <f>SUM(N6:N12)</f>
        <v>386.28320459201041</v>
      </c>
      <c r="O5" s="18">
        <f>B38*B39*B40</f>
        <v>0</v>
      </c>
      <c r="P5" s="18">
        <f>B46*B47*B48/1000-B46*B47*B48/1000/B49</f>
        <v>38.133333333333333</v>
      </c>
      <c r="R5" s="33"/>
    </row>
    <row r="6" spans="1:18">
      <c r="A6" s="33" t="s">
        <v>53</v>
      </c>
      <c r="B6" s="38">
        <f>B26</f>
        <v>1137.27374754161</v>
      </c>
      <c r="C6" s="34"/>
      <c r="D6" s="38">
        <f>IF(ISERROR(TER_kantoor_gas_kWh/1000),0,TER_kantoor_gas_kWh/1000)*0.902</f>
        <v>2968.7810919166564</v>
      </c>
      <c r="E6" s="34">
        <f>$C$26*'E Balans VL '!I12/100/3.6*1000000</f>
        <v>1.8577708657349026</v>
      </c>
      <c r="F6" s="34">
        <f>$C$26*('E Balans VL '!L12+'E Balans VL '!N12)/100/3.6*1000000</f>
        <v>133.60922805265483</v>
      </c>
      <c r="G6" s="35"/>
      <c r="H6" s="34"/>
      <c r="I6" s="34"/>
      <c r="J6" s="34">
        <f>$C$26*('E Balans VL '!D12+'E Balans VL '!E12)/100/3.6*1000000</f>
        <v>0</v>
      </c>
      <c r="K6" s="34"/>
      <c r="L6" s="34"/>
      <c r="M6" s="34"/>
      <c r="N6" s="34">
        <f>$C$26*'E Balans VL '!Y12/100/3.6*1000000</f>
        <v>8.2808074655612227</v>
      </c>
      <c r="O6" s="34"/>
      <c r="P6" s="34"/>
      <c r="R6" s="33"/>
    </row>
    <row r="7" spans="1:18">
      <c r="A7" s="33" t="s">
        <v>52</v>
      </c>
      <c r="B7" s="38">
        <f t="shared" ref="B7:B12" si="0">B27</f>
        <v>619.61337433710992</v>
      </c>
      <c r="C7" s="34"/>
      <c r="D7" s="38">
        <f>IF(ISERROR(TER_horeca_gas_kWh/1000),0,TER_horeca_gas_kWh/1000)*0.902</f>
        <v>783.10798759844886</v>
      </c>
      <c r="E7" s="34">
        <f>$C$27*'E Balans VL '!I9/100/3.6*1000000</f>
        <v>32.056903953081317</v>
      </c>
      <c r="F7" s="34">
        <f>$C$27*('E Balans VL '!L9+'E Balans VL '!N9)/100/3.6*1000000</f>
        <v>140.97165386155038</v>
      </c>
      <c r="G7" s="35"/>
      <c r="H7" s="34"/>
      <c r="I7" s="34"/>
      <c r="J7" s="34">
        <f>$C$27*('E Balans VL '!D9+'E Balans VL '!E9)/100/3.6*1000000</f>
        <v>0</v>
      </c>
      <c r="K7" s="34"/>
      <c r="L7" s="34"/>
      <c r="M7" s="34"/>
      <c r="N7" s="34">
        <f>$C$27*'E Balans VL '!Y9/100/3.6*1000000</f>
        <v>6.523445863156567E-2</v>
      </c>
      <c r="O7" s="34"/>
      <c r="P7" s="34"/>
      <c r="R7" s="33"/>
    </row>
    <row r="8" spans="1:18">
      <c r="A8" s="6" t="s">
        <v>51</v>
      </c>
      <c r="B8" s="38">
        <f t="shared" si="0"/>
        <v>4026.9029681734801</v>
      </c>
      <c r="C8" s="34"/>
      <c r="D8" s="38">
        <f>IF(ISERROR(TER_handel_gas_kWh/1000),0,TER_handel_gas_kWh/1000)*0.902</f>
        <v>255.57471413685008</v>
      </c>
      <c r="E8" s="34">
        <f>$C$28*'E Balans VL '!I13/100/3.6*1000000</f>
        <v>21.152298498184116</v>
      </c>
      <c r="F8" s="34">
        <f>$C$28*('E Balans VL '!L13+'E Balans VL '!N13)/100/3.6*1000000</f>
        <v>759.2060720211216</v>
      </c>
      <c r="G8" s="35"/>
      <c r="H8" s="34"/>
      <c r="I8" s="34"/>
      <c r="J8" s="34">
        <f>$C$28*('E Balans VL '!D13+'E Balans VL '!E13)/100/3.6*1000000</f>
        <v>0</v>
      </c>
      <c r="K8" s="34"/>
      <c r="L8" s="34"/>
      <c r="M8" s="34"/>
      <c r="N8" s="34">
        <f>$C$28*'E Balans VL '!Y13/100/3.6*1000000</f>
        <v>19.963548977239615</v>
      </c>
      <c r="O8" s="34"/>
      <c r="P8" s="34"/>
      <c r="R8" s="33"/>
    </row>
    <row r="9" spans="1:18">
      <c r="A9" s="33" t="s">
        <v>50</v>
      </c>
      <c r="B9" s="38">
        <f t="shared" si="0"/>
        <v>507.81668322138398</v>
      </c>
      <c r="C9" s="34"/>
      <c r="D9" s="38">
        <f>IF(ISERROR(TER_gezond_gas_kWh/1000),0,TER_gezond_gas_kWh/1000)*0.902</f>
        <v>1032.6117443522194</v>
      </c>
      <c r="E9" s="34">
        <f>$C$29*'E Balans VL '!I10/100/3.6*1000000</f>
        <v>0.45081095528909365</v>
      </c>
      <c r="F9" s="34">
        <f>$C$29*('E Balans VL '!L10+'E Balans VL '!N10)/100/3.6*1000000</f>
        <v>157.83714676229675</v>
      </c>
      <c r="G9" s="35"/>
      <c r="H9" s="34"/>
      <c r="I9" s="34"/>
      <c r="J9" s="34">
        <f>$C$29*('E Balans VL '!D10+'E Balans VL '!E10)/100/3.6*1000000</f>
        <v>0</v>
      </c>
      <c r="K9" s="34"/>
      <c r="L9" s="34"/>
      <c r="M9" s="34"/>
      <c r="N9" s="34">
        <f>$C$29*'E Balans VL '!Y10/100/3.6*1000000</f>
        <v>3.9198328678157495</v>
      </c>
      <c r="O9" s="34"/>
      <c r="P9" s="34"/>
      <c r="R9" s="33"/>
    </row>
    <row r="10" spans="1:18">
      <c r="A10" s="33" t="s">
        <v>49</v>
      </c>
      <c r="B10" s="38">
        <f t="shared" si="0"/>
        <v>431.96645182902398</v>
      </c>
      <c r="C10" s="34"/>
      <c r="D10" s="38">
        <f>IF(ISERROR(TER_ander_gas_kWh/1000),0,TER_ander_gas_kWh/1000)*0.902</f>
        <v>323.62961735148076</v>
      </c>
      <c r="E10" s="34">
        <f>$C$30*'E Balans VL '!I14/100/3.6*1000000</f>
        <v>3.5233062406139579</v>
      </c>
      <c r="F10" s="34">
        <f>$C$30*('E Balans VL '!L14+'E Balans VL '!N14)/100/3.6*1000000</f>
        <v>125.91020076383174</v>
      </c>
      <c r="G10" s="35"/>
      <c r="H10" s="34"/>
      <c r="I10" s="34"/>
      <c r="J10" s="34">
        <f>$C$30*('E Balans VL '!D14+'E Balans VL '!E14)/100/3.6*1000000</f>
        <v>0</v>
      </c>
      <c r="K10" s="34"/>
      <c r="L10" s="34"/>
      <c r="M10" s="34"/>
      <c r="N10" s="34">
        <f>$C$30*'E Balans VL '!Y14/100/3.6*1000000</f>
        <v>205.16480909898851</v>
      </c>
      <c r="O10" s="34"/>
      <c r="P10" s="34"/>
      <c r="R10" s="33"/>
    </row>
    <row r="11" spans="1:18">
      <c r="A11" s="33" t="s">
        <v>54</v>
      </c>
      <c r="B11" s="38">
        <f t="shared" si="0"/>
        <v>37.484952686889898</v>
      </c>
      <c r="C11" s="34"/>
      <c r="D11" s="38">
        <f>IF(ISERROR(TER_onderwijs_gas_kWh/1000),0,TER_onderwijs_gas_kWh/1000)*0.902</f>
        <v>295.88053627552318</v>
      </c>
      <c r="E11" s="34">
        <f>$C$31*'E Balans VL '!I11/100/3.6*1000000</f>
        <v>3.1272434627972003E-2</v>
      </c>
      <c r="F11" s="34">
        <f>$C$31*('E Balans VL '!L11+'E Balans VL '!N11)/100/3.6*1000000</f>
        <v>19.615926917653297</v>
      </c>
      <c r="G11" s="35"/>
      <c r="H11" s="34"/>
      <c r="I11" s="34"/>
      <c r="J11" s="34">
        <f>$C$31*('E Balans VL '!D11+'E Balans VL '!E11)/100/3.6*1000000</f>
        <v>0</v>
      </c>
      <c r="K11" s="34"/>
      <c r="L11" s="34"/>
      <c r="M11" s="34"/>
      <c r="N11" s="34">
        <f>$C$31*'E Balans VL '!Y11/100/3.6*1000000</f>
        <v>0.16503811154190365</v>
      </c>
      <c r="O11" s="34"/>
      <c r="P11" s="34"/>
      <c r="R11" s="33"/>
    </row>
    <row r="12" spans="1:18">
      <c r="A12" s="33" t="s">
        <v>249</v>
      </c>
      <c r="B12" s="38">
        <f t="shared" si="0"/>
        <v>2587.99110414606</v>
      </c>
      <c r="C12" s="34"/>
      <c r="D12" s="38">
        <f>IF(ISERROR(TER_rest_gas_kWh/1000),0,TER_rest_gas_kWh/1000)*0.902</f>
        <v>29165.694169859005</v>
      </c>
      <c r="E12" s="34">
        <f>$C$32*'E Balans VL '!I8/100/3.6*1000000</f>
        <v>22.272801680149811</v>
      </c>
      <c r="F12" s="34">
        <f>$C$32*('E Balans VL '!L8+'E Balans VL '!N8)/100/3.6*1000000</f>
        <v>504.20289603820214</v>
      </c>
      <c r="G12" s="35"/>
      <c r="H12" s="34"/>
      <c r="I12" s="34"/>
      <c r="J12" s="34">
        <f>$C$32*('E Balans VL '!D8+'E Balans VL '!E8)/100/3.6*1000000</f>
        <v>0</v>
      </c>
      <c r="K12" s="34"/>
      <c r="L12" s="34"/>
      <c r="M12" s="34"/>
      <c r="N12" s="34">
        <f>$C$32*'E Balans VL '!Y8/100/3.6*1000000</f>
        <v>148.72393361223183</v>
      </c>
      <c r="O12" s="34"/>
      <c r="P12" s="34"/>
      <c r="R12" s="33"/>
    </row>
    <row r="13" spans="1:18">
      <c r="A13" s="17" t="s">
        <v>488</v>
      </c>
      <c r="B13" s="246">
        <f ca="1">'lokale energieproductie'!N40+'lokale energieproductie'!N33</f>
        <v>0</v>
      </c>
      <c r="C13" s="246">
        <f ca="1">'lokale energieproductie'!O40+'lokale energieproductie'!O33</f>
        <v>0</v>
      </c>
      <c r="D13" s="305">
        <f ca="1">('lokale energieproductie'!P33+'lokale energieproductie'!P40)*(-1)</f>
        <v>0</v>
      </c>
      <c r="E13" s="247"/>
      <c r="F13" s="305">
        <f ca="1">('lokale energieproductie'!S33+'lokale energieproductie'!S40)*(-1)</f>
        <v>0</v>
      </c>
      <c r="G13" s="248"/>
      <c r="H13" s="247"/>
      <c r="I13" s="247"/>
      <c r="J13" s="247"/>
      <c r="K13" s="247"/>
      <c r="L13" s="305">
        <f ca="1">('lokale energieproductie'!U33+'lokale energieproductie'!T33+'lokale energieproductie'!U40+'lokale energieproductie'!T40)*(-1)</f>
        <v>0</v>
      </c>
      <c r="M13" s="247"/>
      <c r="N13" s="305">
        <f ca="1">('lokale energieproductie'!Q33+'lokale energieproductie'!R33+'lokale energieproductie'!V33+'lokale energieproductie'!Q40+'lokale energieproductie'!R40+'lokale energieproductie'!V40)*(-1)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9349.0492819355568</v>
      </c>
      <c r="C16" s="22">
        <f t="shared" ca="1" si="1"/>
        <v>0</v>
      </c>
      <c r="D16" s="22">
        <f t="shared" ca="1" si="1"/>
        <v>34825.279861490184</v>
      </c>
      <c r="E16" s="22">
        <f t="shared" si="1"/>
        <v>81.345164627681157</v>
      </c>
      <c r="F16" s="22">
        <f t="shared" ca="1" si="1"/>
        <v>1841.3531244173107</v>
      </c>
      <c r="G16" s="22">
        <f t="shared" si="1"/>
        <v>0</v>
      </c>
      <c r="H16" s="22">
        <f t="shared" si="1"/>
        <v>0</v>
      </c>
      <c r="I16" s="22">
        <f t="shared" si="1"/>
        <v>0</v>
      </c>
      <c r="J16" s="22">
        <f t="shared" si="1"/>
        <v>0</v>
      </c>
      <c r="K16" s="22">
        <f t="shared" si="1"/>
        <v>0</v>
      </c>
      <c r="L16" s="22">
        <f t="shared" ca="1" si="1"/>
        <v>0</v>
      </c>
      <c r="M16" s="22">
        <f t="shared" si="1"/>
        <v>0</v>
      </c>
      <c r="N16" s="22">
        <f t="shared" ca="1" si="1"/>
        <v>386.28320459201041</v>
      </c>
      <c r="O16" s="22">
        <f>O5</f>
        <v>0</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0.21505550391472217</v>
      </c>
      <c r="C18" s="26">
        <f ca="1">'EF ele_warmte'!B22</f>
        <v>0.2215194249341528</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2010.5645044502226</v>
      </c>
      <c r="C20" s="24">
        <f t="shared" ref="C20:P20" ca="1" si="2">C16*C18</f>
        <v>0</v>
      </c>
      <c r="D20" s="24">
        <f t="shared" ca="1" si="2"/>
        <v>7034.7065320210177</v>
      </c>
      <c r="E20" s="24">
        <f t="shared" si="2"/>
        <v>18.465352370483622</v>
      </c>
      <c r="F20" s="24">
        <f t="shared" ca="1" si="2"/>
        <v>491.641284219422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1137.27374754161</v>
      </c>
      <c r="C26" s="40">
        <f>IF(ISERROR(B26*3.6/1000000/'E Balans VL '!Z12*100),0,B26*3.6/1000000/'E Balans VL '!Z12*100)</f>
        <v>2.410458116715699E-2</v>
      </c>
      <c r="D26" s="236" t="s">
        <v>660</v>
      </c>
      <c r="F26" s="6"/>
    </row>
    <row r="27" spans="1:18">
      <c r="A27" s="231" t="s">
        <v>52</v>
      </c>
      <c r="B27" s="34">
        <f>IF(ISERROR(TER_horeca_ele_kWh/1000),0,TER_horeca_ele_kWh/1000)</f>
        <v>619.61337433710992</v>
      </c>
      <c r="C27" s="40">
        <f>IF(ISERROR(B27*3.6/1000000/'E Balans VL '!Z9*100),0,B27*3.6/1000000/'E Balans VL '!Z9*100)</f>
        <v>4.86219567440241E-2</v>
      </c>
      <c r="D27" s="236" t="s">
        <v>660</v>
      </c>
      <c r="F27" s="6"/>
    </row>
    <row r="28" spans="1:18">
      <c r="A28" s="171" t="s">
        <v>51</v>
      </c>
      <c r="B28" s="34">
        <f>IF(ISERROR(TER_handel_ele_kWh/1000),0,TER_handel_ele_kWh/1000)</f>
        <v>4026.9029681734801</v>
      </c>
      <c r="C28" s="40">
        <f>IF(ISERROR(B28*3.6/1000000/'E Balans VL '!Z13*100),0,B28*3.6/1000000/'E Balans VL '!Z13*100)</f>
        <v>0.11245708381391187</v>
      </c>
      <c r="D28" s="236" t="s">
        <v>660</v>
      </c>
      <c r="F28" s="6"/>
    </row>
    <row r="29" spans="1:18">
      <c r="A29" s="231" t="s">
        <v>50</v>
      </c>
      <c r="B29" s="34">
        <f>IF(ISERROR(TER_gezond_ele_kWh/1000),0,TER_gezond_ele_kWh/1000)</f>
        <v>507.81668322138398</v>
      </c>
      <c r="C29" s="40">
        <f>IF(ISERROR(B29*3.6/1000000/'E Balans VL '!Z10*100),0,B29*3.6/1000000/'E Balans VL '!Z10*100)</f>
        <v>5.8195450413542238E-2</v>
      </c>
      <c r="D29" s="236" t="s">
        <v>660</v>
      </c>
      <c r="F29" s="6"/>
    </row>
    <row r="30" spans="1:18">
      <c r="A30" s="231" t="s">
        <v>49</v>
      </c>
      <c r="B30" s="34">
        <f>IF(ISERROR(TER_ander_ele_kWh/1000),0,TER_ander_ele_kWh/1000)</f>
        <v>431.96645182902398</v>
      </c>
      <c r="C30" s="40">
        <f>IF(ISERROR(B30*3.6/1000000/'E Balans VL '!Z14*100),0,B30*3.6/1000000/'E Balans VL '!Z14*100)</f>
        <v>3.2210460744793772E-2</v>
      </c>
      <c r="D30" s="236" t="s">
        <v>660</v>
      </c>
      <c r="F30" s="6"/>
    </row>
    <row r="31" spans="1:18">
      <c r="A31" s="231" t="s">
        <v>54</v>
      </c>
      <c r="B31" s="34">
        <f>IF(ISERROR(TER_onderwijs_ele_kWh/1000),0,TER_onderwijs_ele_kWh/1000)</f>
        <v>37.484952686889898</v>
      </c>
      <c r="C31" s="40">
        <f>IF(ISERROR(B31*3.6/1000000/'E Balans VL '!Z11*100),0,B31*3.6/1000000/'E Balans VL '!Z11*100)</f>
        <v>1.0713282151373169E-2</v>
      </c>
      <c r="D31" s="236" t="s">
        <v>660</v>
      </c>
    </row>
    <row r="32" spans="1:18">
      <c r="A32" s="231" t="s">
        <v>249</v>
      </c>
      <c r="B32" s="34">
        <f>IF(ISERROR(TER_rest_ele_kWh/1000),0,TER_rest_ele_kWh/1000)</f>
        <v>2587.99110414606</v>
      </c>
      <c r="C32" s="40">
        <f>IF(ISERROR(B32*3.6/1000000/'E Balans VL '!Z8*100),0,B32*3.6/1000000/'E Balans VL '!Z8*100)</f>
        <v>2.1323437092714587E-2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216676.33869361324</v>
      </c>
      <c r="C5" s="18">
        <f>IF(ISERROR('Eigen informatie GS &amp; warmtenet'!B59),0,'Eigen informatie GS &amp; warmtenet'!B59)</f>
        <v>0</v>
      </c>
      <c r="D5" s="31">
        <f>SUM(D6:D15)</f>
        <v>117044.55098449247</v>
      </c>
      <c r="E5" s="18">
        <f>SUM(E6:E15)</f>
        <v>2054.6748819634413</v>
      </c>
      <c r="F5" s="18">
        <f>SUM(F6:F15)</f>
        <v>32716.978399564643</v>
      </c>
      <c r="G5" s="19"/>
      <c r="H5" s="18"/>
      <c r="I5" s="18"/>
      <c r="J5" s="18">
        <f>SUM(J6:J15)</f>
        <v>400.97672877504692</v>
      </c>
      <c r="K5" s="18"/>
      <c r="L5" s="18"/>
      <c r="M5" s="18"/>
      <c r="N5" s="18">
        <f>SUM(N6:N15)</f>
        <v>4608.1378480787862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460.66589636871299</v>
      </c>
      <c r="C8" s="34"/>
      <c r="D8" s="38">
        <f>IF( ISERROR(IND_metaal_Gas_kWH/1000),0,IND_metaal_Gas_kWH/1000)*0.902</f>
        <v>75.1682211206208</v>
      </c>
      <c r="E8" s="34">
        <f>C30*'E Balans VL '!I18/100/3.6*1000000</f>
        <v>4.1952013005440767</v>
      </c>
      <c r="F8" s="34">
        <f>C30*'E Balans VL '!L18/100/3.6*1000000+C30*'E Balans VL '!N18/100/3.6*1000000</f>
        <v>60.758333374130046</v>
      </c>
      <c r="G8" s="35"/>
      <c r="H8" s="34"/>
      <c r="I8" s="34"/>
      <c r="J8" s="41">
        <f>C30*'E Balans VL '!D18/100/3.6*1000000+C30*'E Balans VL '!E18/100/3.6*1000000</f>
        <v>7.5542518376503933</v>
      </c>
      <c r="K8" s="34"/>
      <c r="L8" s="34"/>
      <c r="M8" s="34"/>
      <c r="N8" s="34">
        <f>C30*'E Balans VL '!Y18/100/3.6*1000000</f>
        <v>1.5831256867613619</v>
      </c>
      <c r="O8" s="34"/>
      <c r="P8" s="34"/>
      <c r="R8" s="33"/>
    </row>
    <row r="9" spans="1:18">
      <c r="A9" s="6" t="s">
        <v>32</v>
      </c>
      <c r="B9" s="38">
        <f t="shared" si="0"/>
        <v>2838.2057675569999</v>
      </c>
      <c r="C9" s="34"/>
      <c r="D9" s="38">
        <f>IF( ISERROR(IND_andere_gas_kWh/1000),0,IND_andere_gas_kWh/1000)*0.902</f>
        <v>898.65746317188803</v>
      </c>
      <c r="E9" s="34">
        <f>C31*'E Balans VL '!I19/100/3.6*1000000</f>
        <v>16.405253471249971</v>
      </c>
      <c r="F9" s="34">
        <f>C31*'E Balans VL '!L19/100/3.6*1000000+C31*'E Balans VL '!N19/100/3.6*1000000</f>
        <v>2257.9292571488918</v>
      </c>
      <c r="G9" s="35"/>
      <c r="H9" s="34"/>
      <c r="I9" s="34"/>
      <c r="J9" s="41">
        <f>C31*'E Balans VL '!D19/100/3.6*1000000+C31*'E Balans VL '!E19/100/3.6*1000000</f>
        <v>0.26846273971415924</v>
      </c>
      <c r="K9" s="34"/>
      <c r="L9" s="34"/>
      <c r="M9" s="34"/>
      <c r="N9" s="34">
        <f>C31*'E Balans VL '!Y19/100/3.6*1000000</f>
        <v>215.0370383323633</v>
      </c>
      <c r="O9" s="34"/>
      <c r="P9" s="34"/>
      <c r="R9" s="33"/>
    </row>
    <row r="10" spans="1:18">
      <c r="A10" s="6" t="s">
        <v>40</v>
      </c>
      <c r="B10" s="38">
        <f t="shared" si="0"/>
        <v>135179.21009922901</v>
      </c>
      <c r="C10" s="34"/>
      <c r="D10" s="38">
        <f>IF( ISERROR(IND_voed_gas_kWh/1000),0,IND_voed_gas_kWh/1000)*0.902</f>
        <v>66366.58134851561</v>
      </c>
      <c r="E10" s="34">
        <f>C32*'E Balans VL '!I20/100/3.6*1000000</f>
        <v>1329.1652845436436</v>
      </c>
      <c r="F10" s="34">
        <f>C32*'E Balans VL '!L20/100/3.6*1000000+C32*'E Balans VL '!N20/100/3.6*1000000</f>
        <v>15013.415727677941</v>
      </c>
      <c r="G10" s="35"/>
      <c r="H10" s="34"/>
      <c r="I10" s="34"/>
      <c r="J10" s="41">
        <f>C32*'E Balans VL '!D20/100/3.6*1000000+C32*'E Balans VL '!E20/100/3.6*1000000</f>
        <v>0.53280263466981259</v>
      </c>
      <c r="K10" s="34"/>
      <c r="L10" s="34"/>
      <c r="M10" s="34"/>
      <c r="N10" s="34">
        <f>C32*'E Balans VL '!Y20/100/3.6*1000000</f>
        <v>2001.6861265504047</v>
      </c>
      <c r="O10" s="34"/>
      <c r="P10" s="34"/>
      <c r="R10" s="33"/>
    </row>
    <row r="11" spans="1:18">
      <c r="A11" s="6" t="s">
        <v>39</v>
      </c>
      <c r="B11" s="38">
        <f t="shared" si="0"/>
        <v>192.09679601975699</v>
      </c>
      <c r="C11" s="34"/>
      <c r="D11" s="38">
        <f>IF( ISERROR(IND_textiel_gas_kWh/1000),0,IND_textiel_gas_kWh/1000)*0.902</f>
        <v>54.500469750938969</v>
      </c>
      <c r="E11" s="34">
        <f>C33*'E Balans VL '!I21/100/3.6*1000000</f>
        <v>0.37405706804160405</v>
      </c>
      <c r="F11" s="34">
        <f>C33*'E Balans VL '!L21/100/3.6*1000000+C33*'E Balans VL '!N21/100/3.6*1000000</f>
        <v>6.3359826990558776</v>
      </c>
      <c r="G11" s="35"/>
      <c r="H11" s="34"/>
      <c r="I11" s="34"/>
      <c r="J11" s="41">
        <f>C33*'E Balans VL '!D21/100/3.6*1000000+C33*'E Balans VL '!E21/100/3.6*1000000</f>
        <v>0</v>
      </c>
      <c r="K11" s="34"/>
      <c r="L11" s="34"/>
      <c r="M11" s="34"/>
      <c r="N11" s="34">
        <f>C33*'E Balans VL '!Y21/100/3.6*1000000</f>
        <v>1.9925490233559711</v>
      </c>
      <c r="O11" s="34"/>
      <c r="P11" s="34"/>
      <c r="R11" s="33"/>
    </row>
    <row r="12" spans="1:18">
      <c r="A12" s="6" t="s">
        <v>36</v>
      </c>
      <c r="B12" s="38">
        <f t="shared" si="0"/>
        <v>219.712775933872</v>
      </c>
      <c r="C12" s="34"/>
      <c r="D12" s="38">
        <f>IF( ISERROR(IND_min_gas_kWh/1000),0,IND_min_gas_kWh/1000)*0.902</f>
        <v>0</v>
      </c>
      <c r="E12" s="34">
        <f>C34*'E Balans VL '!I22/100/3.6*1000000</f>
        <v>5.5701098477269753</v>
      </c>
      <c r="F12" s="34">
        <f>C34*'E Balans VL '!L22/100/3.6*1000000+C34*'E Balans VL '!N22/100/3.6*1000000</f>
        <v>60.795290929617849</v>
      </c>
      <c r="G12" s="35"/>
      <c r="H12" s="34"/>
      <c r="I12" s="34"/>
      <c r="J12" s="41">
        <f>C34*'E Balans VL '!D22/100/3.6*1000000+C34*'E Balans VL '!E22/100/3.6*1000000</f>
        <v>1.4510273237534717</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77786.447358504913</v>
      </c>
      <c r="C15" s="34"/>
      <c r="D15" s="38">
        <f>IF( ISERROR(IND_rest_gas_kWh/1000),0,IND_rest_gas_kWh/1000)*0.902</f>
        <v>49649.643481933417</v>
      </c>
      <c r="E15" s="34">
        <f>C37*'E Balans VL '!I15/100/3.6*1000000</f>
        <v>698.96497573223473</v>
      </c>
      <c r="F15" s="34">
        <f>C37*'E Balans VL '!L15/100/3.6*1000000+C37*'E Balans VL '!N15/100/3.6*1000000</f>
        <v>15317.743807735005</v>
      </c>
      <c r="G15" s="35"/>
      <c r="H15" s="34"/>
      <c r="I15" s="34"/>
      <c r="J15" s="41">
        <f>C37*'E Balans VL '!D15/100/3.6*1000000+C37*'E Balans VL '!E15/100/3.6*1000000</f>
        <v>391.17018423925907</v>
      </c>
      <c r="K15" s="34"/>
      <c r="L15" s="34"/>
      <c r="M15" s="34"/>
      <c r="N15" s="34">
        <f>C37*'E Balans VL '!Y15/100/3.6*1000000</f>
        <v>2387.8390084859011</v>
      </c>
      <c r="O15" s="34"/>
      <c r="P15" s="34"/>
      <c r="R15" s="33"/>
    </row>
    <row r="16" spans="1:18">
      <c r="A16" s="17" t="s">
        <v>488</v>
      </c>
      <c r="B16" s="246">
        <f>'lokale energieproductie'!N39+'lokale energieproductie'!N32</f>
        <v>1309.5</v>
      </c>
      <c r="C16" s="246">
        <f>'lokale energieproductie'!O39+'lokale energieproductie'!O32</f>
        <v>1870.7142857142858</v>
      </c>
      <c r="D16" s="305">
        <f>('lokale energieproductie'!P32+'lokale energieproductie'!P39)*(-1)</f>
        <v>-935.35714285714289</v>
      </c>
      <c r="E16" s="247"/>
      <c r="F16" s="305">
        <f>('lokale energieproductie'!S32+'lokale energieproductie'!S39)*(-1)</f>
        <v>0</v>
      </c>
      <c r="G16" s="248"/>
      <c r="H16" s="247"/>
      <c r="I16" s="247"/>
      <c r="J16" s="247"/>
      <c r="K16" s="247"/>
      <c r="L16" s="305">
        <f>('lokale energieproductie'!T32+'lokale energieproductie'!U32+'lokale energieproductie'!T39+'lokale energieproductie'!U39)*(-1)</f>
        <v>0</v>
      </c>
      <c r="M16" s="247"/>
      <c r="N16" s="305">
        <f>('lokale energieproductie'!Q32+'lokale energieproductie'!R32+'lokale energieproductie'!V32+'lokale energieproductie'!Q39+'lokale energieproductie'!R39+'lokale energieproductie'!V39)*(-1)</f>
        <v>-2806.0714285714284</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217985.83869361324</v>
      </c>
      <c r="C18" s="22">
        <f>C5+C16</f>
        <v>1870.7142857142858</v>
      </c>
      <c r="D18" s="22">
        <f>MAX((D5+D16),0)</f>
        <v>116109.19384163532</v>
      </c>
      <c r="E18" s="22">
        <f>MAX((E5+E16),0)</f>
        <v>2054.6748819634413</v>
      </c>
      <c r="F18" s="22">
        <f>MAX((F5+F16),0)</f>
        <v>32716.978399564643</v>
      </c>
      <c r="G18" s="22"/>
      <c r="H18" s="22"/>
      <c r="I18" s="22"/>
      <c r="J18" s="22">
        <f>MAX((J5+J16),0)</f>
        <v>400.97672877504692</v>
      </c>
      <c r="K18" s="22"/>
      <c r="L18" s="22">
        <f>MAX((L5+L16),0)</f>
        <v>0</v>
      </c>
      <c r="M18" s="22"/>
      <c r="N18" s="22">
        <f>MAX((N5+N16),0)</f>
        <v>1802.0664195073578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0.21505550391472217</v>
      </c>
      <c r="C20" s="26">
        <f ca="1">'EF ele_warmte'!B22</f>
        <v>0.2215194249341528</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46879.05438652834</v>
      </c>
      <c r="C22" s="24">
        <f ca="1">C18*C20</f>
        <v>414.39955278753303</v>
      </c>
      <c r="D22" s="24">
        <f>D18*D20</f>
        <v>23454.057156010338</v>
      </c>
      <c r="E22" s="24">
        <f>E18*E20</f>
        <v>466.41119820570117</v>
      </c>
      <c r="F22" s="24">
        <f>F18*F20</f>
        <v>8735.4332326837593</v>
      </c>
      <c r="G22" s="24"/>
      <c r="H22" s="24"/>
      <c r="I22" s="24"/>
      <c r="J22" s="24">
        <f>J18*J20</f>
        <v>141.94576198636659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460.66589636871299</v>
      </c>
      <c r="C30" s="40">
        <f>IF(ISERROR(B30*3.6/1000000/'E Balans VL '!Z18*100),0,B30*3.6/1000000/'E Balans VL '!Z18*100)</f>
        <v>2.5632976686499286E-2</v>
      </c>
      <c r="D30" s="236" t="s">
        <v>660</v>
      </c>
    </row>
    <row r="31" spans="1:18">
      <c r="A31" s="6" t="s">
        <v>32</v>
      </c>
      <c r="B31" s="38">
        <f>IF( ISERROR(IND_ander_ele_kWh/1000),0,IND_ander_ele_kWh/1000)</f>
        <v>2838.2057675569999</v>
      </c>
      <c r="C31" s="40">
        <f>IF(ISERROR(B31*3.6/1000000/'E Balans VL '!Z19*100),0,B31*3.6/1000000/'E Balans VL '!Z19*100)</f>
        <v>0.131940732146208</v>
      </c>
      <c r="D31" s="236" t="s">
        <v>660</v>
      </c>
    </row>
    <row r="32" spans="1:18">
      <c r="A32" s="171" t="s">
        <v>40</v>
      </c>
      <c r="B32" s="38">
        <f>IF( ISERROR(IND_voed_ele_kWh/1000),0,IND_voed_ele_kWh/1000)</f>
        <v>135179.21009922901</v>
      </c>
      <c r="C32" s="40">
        <f>IF(ISERROR(B32*3.6/1000000/'E Balans VL '!Z20*100),0,B32*3.6/1000000/'E Balans VL '!Z20*100)</f>
        <v>4.7783120710310278</v>
      </c>
      <c r="D32" s="236" t="s">
        <v>660</v>
      </c>
    </row>
    <row r="33" spans="1:5">
      <c r="A33" s="171" t="s">
        <v>39</v>
      </c>
      <c r="B33" s="38">
        <f>IF( ISERROR(IND_textiel_ele_kWh/1000),0,IND_textiel_ele_kWh/1000)</f>
        <v>192.09679601975699</v>
      </c>
      <c r="C33" s="40">
        <f>IF(ISERROR(B33*3.6/1000000/'E Balans VL '!Z21*100),0,B33*3.6/1000000/'E Balans VL '!Z21*100)</f>
        <v>2.5945587167075977E-2</v>
      </c>
      <c r="D33" s="236" t="s">
        <v>660</v>
      </c>
    </row>
    <row r="34" spans="1:5">
      <c r="A34" s="171" t="s">
        <v>36</v>
      </c>
      <c r="B34" s="38">
        <f>IF( ISERROR(IND_min_ele_kWh/1000),0,IND_min_ele_kWh/1000)</f>
        <v>219.712775933872</v>
      </c>
      <c r="C34" s="40">
        <f>IF(ISERROR(B34*3.6/1000000/'E Balans VL '!Z22*100),0,B34*3.6/1000000/'E Balans VL '!Z22*100)</f>
        <v>4.4156072271742786E-2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77786.447358504913</v>
      </c>
      <c r="C37" s="40">
        <f>IF(ISERROR(B37*3.6/1000000/'E Balans VL '!Z15*100),0,B37*3.6/1000000/'E Balans VL '!Z15*100)</f>
        <v>0.58740258551526381</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7311.66411285104</v>
      </c>
      <c r="C5" s="18">
        <f>'Eigen informatie GS &amp; warmtenet'!B60</f>
        <v>0</v>
      </c>
      <c r="D5" s="31">
        <f>IF(ISERROR(SUM(LB_lb_gas_kWh,LB_rest_gas_kWh)/1000),0,SUM(LB_lb_gas_kWh,LB_rest_gas_kWh)/1000)*0.902</f>
        <v>20593.012153637541</v>
      </c>
      <c r="E5" s="18">
        <f>B17*'E Balans VL '!I25/3.6*1000000/100</f>
        <v>72.204013898736548</v>
      </c>
      <c r="F5" s="18">
        <f>B17*('E Balans VL '!L25/3.6*1000000+'E Balans VL '!N25/3.6*1000000)/100</f>
        <v>24393.64613194577</v>
      </c>
      <c r="G5" s="19"/>
      <c r="H5" s="18"/>
      <c r="I5" s="18"/>
      <c r="J5" s="18">
        <f>('E Balans VL '!D25+'E Balans VL '!E25)/3.6*1000000*landbouw!B17/100</f>
        <v>729.48215371088679</v>
      </c>
      <c r="K5" s="18"/>
      <c r="L5" s="18">
        <f>L6*(-1)</f>
        <v>0</v>
      </c>
      <c r="M5" s="18"/>
      <c r="N5" s="18">
        <f>N6*(-1)</f>
        <v>0</v>
      </c>
      <c r="O5" s="18"/>
      <c r="P5" s="18"/>
      <c r="R5" s="33"/>
    </row>
    <row r="6" spans="1:18">
      <c r="A6" s="17" t="s">
        <v>488</v>
      </c>
      <c r="B6" s="18" t="s">
        <v>204</v>
      </c>
      <c r="C6" s="18">
        <f>'lokale energieproductie'!O41+'lokale energieproductie'!O34</f>
        <v>18803.571428571428</v>
      </c>
      <c r="D6" s="305">
        <f>('lokale energieproductie'!P34+'lokale energieproductie'!P41)*(-1)</f>
        <v>-37607.142857142855</v>
      </c>
      <c r="E6" s="247"/>
      <c r="F6" s="305">
        <f>('lokale energieproductie'!S34+'lokale energieproductie'!S41)*(-1)</f>
        <v>0</v>
      </c>
      <c r="G6" s="248"/>
      <c r="H6" s="247"/>
      <c r="I6" s="247"/>
      <c r="J6" s="247"/>
      <c r="K6" s="247"/>
      <c r="L6" s="305">
        <f>('lokale energieproductie'!T34+'lokale energieproductie'!U34+'lokale energieproductie'!T41+'lokale energieproductie'!U41)*(-1)</f>
        <v>0</v>
      </c>
      <c r="M6" s="247"/>
      <c r="N6" s="305">
        <f>('lokale energieproductie'!V34+'lokale energieproductie'!R34+'lokale energieproductie'!Q34+'lokale energieproductie'!Q41+'lokale energieproductie'!R41+'lokale energieproductie'!V41)*(-1)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7311.66411285104</v>
      </c>
      <c r="C8" s="22">
        <f>C5+C6</f>
        <v>18803.571428571428</v>
      </c>
      <c r="D8" s="22">
        <f>MAX((D5+D6),0)</f>
        <v>0</v>
      </c>
      <c r="E8" s="22">
        <f>MAX((E5+E6),0)</f>
        <v>72.204013898736548</v>
      </c>
      <c r="F8" s="22">
        <f>MAX((F5+F6),0)</f>
        <v>24393.64613194577</v>
      </c>
      <c r="G8" s="22"/>
      <c r="H8" s="22"/>
      <c r="I8" s="22"/>
      <c r="J8" s="22">
        <f>MAX((J5+J6),0)</f>
        <v>729.48215371088679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0.21505550391472217</v>
      </c>
      <c r="C10" s="32">
        <f ca="1">'EF ele_warmte'!B22</f>
        <v>0.2215194249341528</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1572.4136102443704</v>
      </c>
      <c r="C12" s="24">
        <f ca="1">C8*C10</f>
        <v>4165.3563295654085</v>
      </c>
      <c r="D12" s="24">
        <f>D8*D10</f>
        <v>0</v>
      </c>
      <c r="E12" s="24">
        <f>E8*E10</f>
        <v>16.390311155013197</v>
      </c>
      <c r="F12" s="24">
        <f>F8*F10</f>
        <v>6513.1035172295215</v>
      </c>
      <c r="G12" s="24"/>
      <c r="H12" s="24"/>
      <c r="I12" s="24"/>
      <c r="J12" s="24">
        <f>J8*J10</f>
        <v>258.23668241365391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0.98988248422242131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358.52412160233558</v>
      </c>
      <c r="C26" s="246">
        <f>B26*'GWP N2O_CH4'!B5</f>
        <v>7529.0065536490474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473.74579853402236</v>
      </c>
      <c r="C27" s="246">
        <f>B27*'GWP N2O_CH4'!B5</f>
        <v>9948.66176921447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6.8326631995459888</v>
      </c>
      <c r="C28" s="246">
        <f>B28*'GWP N2O_CH4'!B4</f>
        <v>2118.1255918592565</v>
      </c>
      <c r="D28" s="51"/>
    </row>
    <row r="29" spans="1:4">
      <c r="A29" s="42" t="s">
        <v>266</v>
      </c>
      <c r="B29" s="246">
        <f>B34*'ha_N2O bodem landbouw'!B4</f>
        <v>12.381994097545348</v>
      </c>
      <c r="C29" s="246">
        <f>B29*'GWP N2O_CH4'!B4</f>
        <v>3838.4181702390579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3.3427486178590625E-3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2.2473641685800544E-5</v>
      </c>
      <c r="C5" s="433" t="s">
        <v>204</v>
      </c>
      <c r="D5" s="418">
        <f>SUM(D6:D11)</f>
        <v>2.626422136461373E-5</v>
      </c>
      <c r="E5" s="418">
        <f>SUM(E6:E11)</f>
        <v>1.8693087936638021E-3</v>
      </c>
      <c r="F5" s="431" t="s">
        <v>204</v>
      </c>
      <c r="G5" s="418">
        <f>SUM(G6:G11)</f>
        <v>0.47420756067456443</v>
      </c>
      <c r="H5" s="418">
        <f>SUM(H6:H11)</f>
        <v>6.881029601810687E-2</v>
      </c>
      <c r="I5" s="433" t="s">
        <v>204</v>
      </c>
      <c r="J5" s="433" t="s">
        <v>204</v>
      </c>
      <c r="K5" s="433" t="s">
        <v>204</v>
      </c>
      <c r="L5" s="433" t="s">
        <v>204</v>
      </c>
      <c r="M5" s="418">
        <f>SUM(M6:M11)</f>
        <v>2.4252052836621067E-2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7.5173954780584725E-6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8.7188111816723808E-6</v>
      </c>
      <c r="E6" s="421">
        <f>vkm_GW_PW*SUMIFS(TableVerdeelsleutelVkm[LPG],TableVerdeelsleutelVkm[Voertuigtype],"Lichte voertuigen")*SUMIFS(TableECFTransport[EnergieConsumptieFactor (PJ per km)],TableECFTransport[Index],CONCATENATE($A6,"_LPG_LPG"))</f>
        <v>5.6433660553356407E-4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8.8979937330462805E-2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2.2499760263140239E-2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4.9898387164984299E-3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3.6231350981973344E-7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5.9934236412455481E-2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1.8678485357227003E-6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2.6668898951405702E-3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2.8430009346066407E-6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5.374035097254925E-6</v>
      </c>
      <c r="E8" s="421">
        <f>vkm_NGW_PW*SUMIFS(TableVerdeelsleutelVkm[LPG],TableVerdeelsleutelVkm[Voertuigtype],"Lichte voertuigen")*SUMIFS(TableECFTransport[EnergieConsumptieFactor (PJ per km)],TableECFTransport[Index],CONCATENATE($A8,"_LPG_LPG"))</f>
        <v>3.2873595764829094E-4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4.9009650593766711E-2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1.3199433777431024E-2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2.785326776350649E-3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1.1617248211348476E-7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2.4643293059580778E-2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7.2289769977651747E-7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1.0965489732539465E-3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1.0928111772528325E-5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1.2171375085686424E-5</v>
      </c>
      <c r="E10" s="421">
        <f>vkm_SW_PW*SUMIFS(TableVerdeelsleutelVkm[LPG],TableVerdeelsleutelVkm[Voertuigtype],"Lichte voertuigen")*SUMIFS(TableECFTransport[EnergieConsumptieFactor (PJ per km)],TableECFTransport[Index],CONCATENATE($A10,"_LPG_LPG"))</f>
        <v>9.7623623048194701E-4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0.14214369399470914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3.3104761584166906E-2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7.84116316084397E-3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7.0664750867388608E-7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0.10949674928358949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3.7496471332054718E-6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4.8722853145335022E-3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6.2426782460557062</v>
      </c>
      <c r="C14" s="22"/>
      <c r="D14" s="22">
        <f t="shared" ref="D14:M14" si="0">((D5)*10^9/3600)+D12</f>
        <v>7.2956170457260363</v>
      </c>
      <c r="E14" s="22">
        <f t="shared" si="0"/>
        <v>519.25244268438951</v>
      </c>
      <c r="F14" s="22"/>
      <c r="G14" s="22">
        <f t="shared" si="0"/>
        <v>131724.32240960124</v>
      </c>
      <c r="H14" s="22">
        <f t="shared" si="0"/>
        <v>19113.971116140794</v>
      </c>
      <c r="I14" s="22"/>
      <c r="J14" s="22"/>
      <c r="K14" s="22"/>
      <c r="L14" s="22"/>
      <c r="M14" s="22">
        <f t="shared" si="0"/>
        <v>6736.6813435058521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0.21505550391472217</v>
      </c>
      <c r="C16" s="57">
        <f ca="1">'EF ele_warmte'!B22</f>
        <v>0.2215194249341528</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1.3425223159829838</v>
      </c>
      <c r="C18" s="24"/>
      <c r="D18" s="24">
        <f t="shared" ref="D18:M18" si="1">D14*D16</f>
        <v>1.4737146432366595</v>
      </c>
      <c r="E18" s="24">
        <f t="shared" si="1"/>
        <v>117.87030448935643</v>
      </c>
      <c r="F18" s="24"/>
      <c r="G18" s="24">
        <f t="shared" si="1"/>
        <v>35170.394083363535</v>
      </c>
      <c r="H18" s="24">
        <f t="shared" si="1"/>
        <v>4759.3788079190581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1.8497412726331257E-5</v>
      </c>
      <c r="C50" s="316">
        <f t="shared" ref="C50:P50" si="2">SUM(C51:C52)</f>
        <v>0</v>
      </c>
      <c r="D50" s="316">
        <f t="shared" si="2"/>
        <v>0</v>
      </c>
      <c r="E50" s="316">
        <f t="shared" si="2"/>
        <v>0</v>
      </c>
      <c r="F50" s="316">
        <f t="shared" si="2"/>
        <v>0</v>
      </c>
      <c r="G50" s="316">
        <f t="shared" si="2"/>
        <v>3.6893455393120032E-3</v>
      </c>
      <c r="H50" s="316">
        <f t="shared" si="2"/>
        <v>0</v>
      </c>
      <c r="I50" s="316">
        <f t="shared" si="2"/>
        <v>0</v>
      </c>
      <c r="J50" s="316">
        <f t="shared" si="2"/>
        <v>0</v>
      </c>
      <c r="K50" s="316">
        <f t="shared" si="2"/>
        <v>0</v>
      </c>
      <c r="L50" s="316">
        <f t="shared" si="2"/>
        <v>0</v>
      </c>
      <c r="M50" s="316">
        <f t="shared" si="2"/>
        <v>1.6306514352622411E-4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1.8497412726331257E-5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3.6893455393120032E-3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1.6306514352622411E-4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5.1381702017586832</v>
      </c>
      <c r="C54" s="22">
        <f t="shared" ref="C54:P54" si="3">(C50)*10^9/3600</f>
        <v>0</v>
      </c>
      <c r="D54" s="22">
        <f t="shared" si="3"/>
        <v>0</v>
      </c>
      <c r="E54" s="22">
        <f t="shared" si="3"/>
        <v>0</v>
      </c>
      <c r="F54" s="22">
        <f t="shared" si="3"/>
        <v>0</v>
      </c>
      <c r="G54" s="22">
        <f t="shared" si="3"/>
        <v>1024.8182053644452</v>
      </c>
      <c r="H54" s="22">
        <f t="shared" si="3"/>
        <v>0</v>
      </c>
      <c r="I54" s="22">
        <f t="shared" si="3"/>
        <v>0</v>
      </c>
      <c r="J54" s="22">
        <f t="shared" si="3"/>
        <v>0</v>
      </c>
      <c r="K54" s="22">
        <f t="shared" si="3"/>
        <v>0</v>
      </c>
      <c r="L54" s="22">
        <f t="shared" si="3"/>
        <v>0</v>
      </c>
      <c r="M54" s="22">
        <f t="shared" si="3"/>
        <v>45.295873201728917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0.21505550391472217</v>
      </c>
      <c r="C56" s="57">
        <f ca="1">'EF ele_warmte'!B22</f>
        <v>0.2215194249341528</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1.1049917819388233</v>
      </c>
      <c r="C58" s="24">
        <f t="shared" ref="C58:P58" ca="1" si="4">C54*C56</f>
        <v>0</v>
      </c>
      <c r="D58" s="24">
        <f t="shared" si="4"/>
        <v>0</v>
      </c>
      <c r="E58" s="24">
        <f t="shared" si="4"/>
        <v>0</v>
      </c>
      <c r="F58" s="24">
        <f t="shared" si="4"/>
        <v>0</v>
      </c>
      <c r="G58" s="24">
        <f t="shared" si="4"/>
        <v>273.62646083230692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3"/>
  <sheetViews>
    <sheetView showGridLines="0" topLeftCell="F1" zoomScale="65" zoomScaleNormal="65" workbookViewId="0">
      <selection activeCell="A28" sqref="A28:XFD31"/>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6822.6577569277651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N31</f>
        <v>14472</v>
      </c>
      <c r="C8" s="544">
        <f>B50</f>
        <v>15870.441176470589</v>
      </c>
      <c r="D8" s="931"/>
      <c r="E8" s="931">
        <f>E50</f>
        <v>0</v>
      </c>
      <c r="F8" s="932"/>
      <c r="G8" s="545"/>
      <c r="H8" s="931">
        <f>I50</f>
        <v>0</v>
      </c>
      <c r="I8" s="931">
        <f>G50+F50</f>
        <v>0</v>
      </c>
      <c r="J8" s="931">
        <f>H50+D50+C50</f>
        <v>1155.4411764705883</v>
      </c>
      <c r="K8" s="931"/>
      <c r="L8" s="931"/>
      <c r="M8" s="931"/>
      <c r="N8" s="546"/>
      <c r="O8" s="547">
        <f>C8*$C$12+D8*$D$12+E8*$E$12+F8*$F$12+G8*$G$12+H8*$H$12+I8*$I$12+J8*$J$12</f>
        <v>3205.8291176470593</v>
      </c>
      <c r="P8" s="1206"/>
      <c r="Q8" s="1207"/>
      <c r="S8" s="968"/>
      <c r="T8" s="1227"/>
      <c r="U8" s="1227"/>
    </row>
    <row r="9" spans="1:21" s="532" customFormat="1" ht="17.45" customHeight="1" thickBot="1">
      <c r="A9" s="548" t="s">
        <v>237</v>
      </c>
      <c r="B9" s="933">
        <f>N38+'Eigen informatie GS &amp; warmtenet'!B12</f>
        <v>0</v>
      </c>
      <c r="C9" s="549">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21294.657756927765</v>
      </c>
      <c r="C10" s="556">
        <f t="shared" ref="C10:L10" si="0">SUM(C8:C9)</f>
        <v>15870.441176470589</v>
      </c>
      <c r="D10" s="556">
        <f t="shared" si="0"/>
        <v>0</v>
      </c>
      <c r="E10" s="556">
        <f t="shared" si="0"/>
        <v>0</v>
      </c>
      <c r="F10" s="556">
        <f t="shared" si="0"/>
        <v>0</v>
      </c>
      <c r="G10" s="556">
        <f t="shared" si="0"/>
        <v>0</v>
      </c>
      <c r="H10" s="556">
        <f t="shared" si="0"/>
        <v>0</v>
      </c>
      <c r="I10" s="556">
        <f t="shared" si="0"/>
        <v>0</v>
      </c>
      <c r="J10" s="556">
        <f t="shared" si="0"/>
        <v>1155.4411764705883</v>
      </c>
      <c r="K10" s="556">
        <f t="shared" si="0"/>
        <v>0</v>
      </c>
      <c r="L10" s="556">
        <f t="shared" si="0"/>
        <v>0</v>
      </c>
      <c r="M10" s="935"/>
      <c r="N10" s="935"/>
      <c r="O10" s="557">
        <f>SUM(O4:O9)</f>
        <v>3205.8291176470593</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O31</f>
        <v>20674.285714285714</v>
      </c>
      <c r="C17" s="568">
        <f>B51</f>
        <v>22672.058823529413</v>
      </c>
      <c r="D17" s="569"/>
      <c r="E17" s="569">
        <f>E51</f>
        <v>0</v>
      </c>
      <c r="F17" s="570"/>
      <c r="G17" s="571"/>
      <c r="H17" s="568">
        <f>I51</f>
        <v>0</v>
      </c>
      <c r="I17" s="569">
        <f>G51+F51</f>
        <v>0</v>
      </c>
      <c r="J17" s="569">
        <f>H51+D51+C51</f>
        <v>1650.6302521008404</v>
      </c>
      <c r="K17" s="569"/>
      <c r="L17" s="569"/>
      <c r="M17" s="569"/>
      <c r="N17" s="938"/>
      <c r="O17" s="572">
        <f>C17*$C$22+E17*$E$22+H17*$H$22+I17*$I$22+J17*$J$22+D17*$D$22+F17*$F$22+G17*$G$22+K17*$K$22+L17*$L$22</f>
        <v>4579.7558823529416</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20674.285714285714</v>
      </c>
      <c r="C20" s="555">
        <f>SUM(C17:C19)</f>
        <v>22672.058823529413</v>
      </c>
      <c r="D20" s="555">
        <f t="shared" ref="D20:L20" si="1">SUM(D17:D19)</f>
        <v>0</v>
      </c>
      <c r="E20" s="555">
        <f t="shared" si="1"/>
        <v>0</v>
      </c>
      <c r="F20" s="555">
        <f t="shared" si="1"/>
        <v>0</v>
      </c>
      <c r="G20" s="555">
        <f t="shared" si="1"/>
        <v>0</v>
      </c>
      <c r="H20" s="555">
        <f t="shared" si="1"/>
        <v>0</v>
      </c>
      <c r="I20" s="555">
        <f t="shared" si="1"/>
        <v>0</v>
      </c>
      <c r="J20" s="555">
        <f t="shared" si="1"/>
        <v>1650.6302521008404</v>
      </c>
      <c r="K20" s="555">
        <f t="shared" si="1"/>
        <v>0</v>
      </c>
      <c r="L20" s="555">
        <f t="shared" si="1"/>
        <v>0</v>
      </c>
      <c r="M20" s="555"/>
      <c r="N20" s="555"/>
      <c r="O20" s="576">
        <f>SUM(O17:O19)</f>
        <v>4579.7558823529416</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37020</v>
      </c>
      <c r="C28" s="740">
        <v>8851</v>
      </c>
      <c r="D28" s="628"/>
      <c r="E28" s="627"/>
      <c r="F28" s="627"/>
      <c r="G28" s="627" t="s">
        <v>942</v>
      </c>
      <c r="H28" s="627" t="s">
        <v>943</v>
      </c>
      <c r="I28" s="627"/>
      <c r="J28" s="739"/>
      <c r="K28" s="739"/>
      <c r="L28" s="627" t="s">
        <v>944</v>
      </c>
      <c r="M28" s="627">
        <v>291</v>
      </c>
      <c r="N28" s="627">
        <v>1309.5</v>
      </c>
      <c r="O28" s="627">
        <v>1870.7142857142858</v>
      </c>
      <c r="P28" s="627">
        <v>935.35714285714289</v>
      </c>
      <c r="Q28" s="627">
        <v>2806.0714285714284</v>
      </c>
      <c r="R28" s="627">
        <v>0</v>
      </c>
      <c r="S28" s="627">
        <v>0</v>
      </c>
      <c r="T28" s="627">
        <v>0</v>
      </c>
      <c r="U28" s="627">
        <v>0</v>
      </c>
      <c r="V28" s="627">
        <v>0</v>
      </c>
      <c r="W28" s="627"/>
      <c r="X28" s="627"/>
      <c r="Y28" s="627">
        <v>500</v>
      </c>
      <c r="Z28" s="627" t="s">
        <v>40</v>
      </c>
      <c r="AA28" s="629" t="s">
        <v>378</v>
      </c>
    </row>
    <row r="29" spans="1:27" s="581" customFormat="1" ht="25.5" hidden="1">
      <c r="A29" s="580"/>
      <c r="B29" s="740">
        <v>37020</v>
      </c>
      <c r="C29" s="740">
        <v>8850</v>
      </c>
      <c r="D29" s="628"/>
      <c r="E29" s="627"/>
      <c r="F29" s="627"/>
      <c r="G29" s="627" t="s">
        <v>942</v>
      </c>
      <c r="H29" s="627" t="s">
        <v>943</v>
      </c>
      <c r="I29" s="627"/>
      <c r="J29" s="739"/>
      <c r="K29" s="739"/>
      <c r="L29" s="627" t="s">
        <v>944</v>
      </c>
      <c r="M29" s="627">
        <v>1925</v>
      </c>
      <c r="N29" s="627">
        <v>8662.5</v>
      </c>
      <c r="O29" s="627">
        <v>12375</v>
      </c>
      <c r="P29" s="627">
        <v>24750</v>
      </c>
      <c r="Q29" s="627">
        <v>0</v>
      </c>
      <c r="R29" s="627">
        <v>0</v>
      </c>
      <c r="S29" s="627">
        <v>0</v>
      </c>
      <c r="T29" s="627">
        <v>0</v>
      </c>
      <c r="U29" s="627">
        <v>0</v>
      </c>
      <c r="V29" s="627">
        <v>0</v>
      </c>
      <c r="W29" s="627"/>
      <c r="X29" s="627"/>
      <c r="Y29" s="627">
        <v>10</v>
      </c>
      <c r="Z29" s="627" t="s">
        <v>105</v>
      </c>
      <c r="AA29" s="629" t="s">
        <v>105</v>
      </c>
    </row>
    <row r="30" spans="1:27" s="581" customFormat="1" ht="25.5" hidden="1">
      <c r="A30" s="580"/>
      <c r="B30" s="740">
        <v>37020</v>
      </c>
      <c r="C30" s="740">
        <v>8850</v>
      </c>
      <c r="D30" s="628"/>
      <c r="E30" s="627"/>
      <c r="F30" s="627"/>
      <c r="G30" s="627" t="s">
        <v>942</v>
      </c>
      <c r="H30" s="627" t="s">
        <v>943</v>
      </c>
      <c r="I30" s="627"/>
      <c r="J30" s="739"/>
      <c r="K30" s="739"/>
      <c r="L30" s="627" t="s">
        <v>944</v>
      </c>
      <c r="M30" s="627">
        <v>2000</v>
      </c>
      <c r="N30" s="627">
        <v>4500</v>
      </c>
      <c r="O30" s="627">
        <v>6428.5714285714284</v>
      </c>
      <c r="P30" s="627">
        <v>12857.142857142859</v>
      </c>
      <c r="Q30" s="627">
        <v>0</v>
      </c>
      <c r="R30" s="627">
        <v>0</v>
      </c>
      <c r="S30" s="627">
        <v>0</v>
      </c>
      <c r="T30" s="627">
        <v>0</v>
      </c>
      <c r="U30" s="627">
        <v>0</v>
      </c>
      <c r="V30" s="627">
        <v>0</v>
      </c>
      <c r="W30" s="627"/>
      <c r="X30" s="627"/>
      <c r="Y30" s="627">
        <v>10</v>
      </c>
      <c r="Z30" s="627" t="s">
        <v>105</v>
      </c>
      <c r="AA30" s="629" t="s">
        <v>105</v>
      </c>
    </row>
    <row r="31" spans="1:27" s="563" customFormat="1" hidden="1">
      <c r="A31" s="583" t="s">
        <v>269</v>
      </c>
      <c r="B31" s="584"/>
      <c r="C31" s="584"/>
      <c r="D31" s="584"/>
      <c r="E31" s="584"/>
      <c r="F31" s="584"/>
      <c r="G31" s="584"/>
      <c r="H31" s="584"/>
      <c r="I31" s="584"/>
      <c r="J31" s="584"/>
      <c r="K31" s="584"/>
      <c r="L31" s="585"/>
      <c r="M31" s="585">
        <f>SUM(M28:M30)</f>
        <v>4216</v>
      </c>
      <c r="N31" s="585">
        <f>SUM(N28:N30)</f>
        <v>14472</v>
      </c>
      <c r="O31" s="585">
        <f>SUM(O28:O30)</f>
        <v>20674.285714285714</v>
      </c>
      <c r="P31" s="585">
        <f>SUM(P28:P30)</f>
        <v>38542.5</v>
      </c>
      <c r="Q31" s="585">
        <f>SUM(Q28:Q30)</f>
        <v>2806.0714285714284</v>
      </c>
      <c r="R31" s="585">
        <f>SUM(R28:R30)</f>
        <v>0</v>
      </c>
      <c r="S31" s="585">
        <f>SUM(S28:S30)</f>
        <v>0</v>
      </c>
      <c r="T31" s="585">
        <f>SUM(T28:T30)</f>
        <v>0</v>
      </c>
      <c r="U31" s="585">
        <f>SUM(U28:U30)</f>
        <v>0</v>
      </c>
      <c r="V31" s="585">
        <f>SUM(V28:V30)</f>
        <v>0</v>
      </c>
      <c r="W31" s="585">
        <f>SUM(W28:W30)</f>
        <v>0</v>
      </c>
      <c r="X31" s="585"/>
      <c r="Y31" s="586"/>
      <c r="Z31" s="586"/>
      <c r="AA31" s="587"/>
    </row>
    <row r="32" spans="1:27" s="563" customFormat="1">
      <c r="A32" s="583" t="s">
        <v>276</v>
      </c>
      <c r="B32" s="584"/>
      <c r="C32" s="584"/>
      <c r="D32" s="584"/>
      <c r="E32" s="584"/>
      <c r="F32" s="584"/>
      <c r="G32" s="584"/>
      <c r="H32" s="584"/>
      <c r="I32" s="584"/>
      <c r="J32" s="584"/>
      <c r="K32" s="584"/>
      <c r="L32" s="585"/>
      <c r="M32" s="585">
        <f>SUMIF($AA$28:$AA$30,"industrie",M28:M30)</f>
        <v>291</v>
      </c>
      <c r="N32" s="585">
        <f>SUMIF($AA$28:$AA$30,"industrie",N28:N30)</f>
        <v>1309.5</v>
      </c>
      <c r="O32" s="585">
        <f>SUMIF($AA$28:$AA$30,"industrie",O28:O30)</f>
        <v>1870.7142857142858</v>
      </c>
      <c r="P32" s="585">
        <f>SUMIF($AA$28:$AA$30,"industrie",P28:P30)</f>
        <v>935.35714285714289</v>
      </c>
      <c r="Q32" s="585">
        <f>SUMIF($AA$28:$AA$30,"industrie",Q28:Q30)</f>
        <v>2806.0714285714284</v>
      </c>
      <c r="R32" s="585">
        <f>SUMIF($AA$28:$AA$30,"industrie",R28:R30)</f>
        <v>0</v>
      </c>
      <c r="S32" s="585">
        <f>SUMIF($AA$28:$AA$30,"industrie",S28:S30)</f>
        <v>0</v>
      </c>
      <c r="T32" s="585">
        <f>SUMIF($AA$28:$AA$30,"industrie",T28:T30)</f>
        <v>0</v>
      </c>
      <c r="U32" s="585">
        <f>SUMIF($AA$28:$AA$30,"industrie",U28:U30)</f>
        <v>0</v>
      </c>
      <c r="V32" s="585">
        <f>SUMIF($AA$28:$AA$30,"industrie",V28:V30)</f>
        <v>0</v>
      </c>
      <c r="W32" s="585">
        <f>SUMIF($AA$28:$AA$30,"industrie",W28:W30)</f>
        <v>0</v>
      </c>
      <c r="X32" s="585"/>
      <c r="Y32" s="586"/>
      <c r="Z32" s="586"/>
      <c r="AA32" s="587"/>
    </row>
    <row r="33" spans="1:28" s="563" customFormat="1">
      <c r="A33" s="583" t="s">
        <v>277</v>
      </c>
      <c r="B33" s="584"/>
      <c r="C33" s="584"/>
      <c r="D33" s="584"/>
      <c r="E33" s="584"/>
      <c r="F33" s="584"/>
      <c r="G33" s="584"/>
      <c r="H33" s="584"/>
      <c r="I33" s="584"/>
      <c r="J33" s="584"/>
      <c r="K33" s="584"/>
      <c r="L33" s="585"/>
      <c r="M33" s="585">
        <f ca="1">SUMIF($AA$28:AD30,"tertiair",M28:M30)</f>
        <v>0</v>
      </c>
      <c r="N33" s="585">
        <f ca="1">SUMIF($AA$28:AE30,"tertiair",N28:N30)</f>
        <v>0</v>
      </c>
      <c r="O33" s="585">
        <f ca="1">SUMIF($AA$28:AF30,"tertiair",O28:O30)</f>
        <v>0</v>
      </c>
      <c r="P33" s="585">
        <f ca="1">SUMIF($AA$28:AG30,"tertiair",P28:P30)</f>
        <v>0</v>
      </c>
      <c r="Q33" s="585">
        <f ca="1">SUMIF($AA$28:AH30,"tertiair",Q28:Q30)</f>
        <v>0</v>
      </c>
      <c r="R33" s="585">
        <f ca="1">SUMIF($AA$28:AI30,"tertiair",R28:R30)</f>
        <v>0</v>
      </c>
      <c r="S33" s="585">
        <f ca="1">SUMIF($AA$28:AJ30,"tertiair",S28:S30)</f>
        <v>0</v>
      </c>
      <c r="T33" s="585">
        <f ca="1">SUMIF($AA$28:AK30,"tertiair",T28:T30)</f>
        <v>0</v>
      </c>
      <c r="U33" s="585">
        <f ca="1">SUMIF($AA$28:AL30,"tertiair",U28:U30)</f>
        <v>0</v>
      </c>
      <c r="V33" s="585">
        <f ca="1">SUMIF($AA$28:AM30,"tertiair",V28:V30)</f>
        <v>0</v>
      </c>
      <c r="W33" s="585">
        <f ca="1">SUMIF($AA$28:AN30,"tertiair",W28:W30)</f>
        <v>0</v>
      </c>
      <c r="X33" s="585"/>
      <c r="Y33" s="586"/>
      <c r="Z33" s="586"/>
      <c r="AA33" s="587"/>
    </row>
    <row r="34" spans="1:28" s="563" customFormat="1" ht="15.75" thickBot="1">
      <c r="A34" s="588" t="s">
        <v>278</v>
      </c>
      <c r="B34" s="589"/>
      <c r="C34" s="589"/>
      <c r="D34" s="589"/>
      <c r="E34" s="589"/>
      <c r="F34" s="589"/>
      <c r="G34" s="589"/>
      <c r="H34" s="589"/>
      <c r="I34" s="589"/>
      <c r="J34" s="589"/>
      <c r="K34" s="589"/>
      <c r="L34" s="590"/>
      <c r="M34" s="590">
        <f>SUMIF($AA$28:$AA$30,"landbouw",M28:M30)</f>
        <v>3925</v>
      </c>
      <c r="N34" s="590">
        <f>SUMIF($AA$28:$AA$30,"landbouw",N28:N30)</f>
        <v>13162.5</v>
      </c>
      <c r="O34" s="590">
        <f>SUMIF($AA$28:$AA$30,"landbouw",O28:O30)</f>
        <v>18803.571428571428</v>
      </c>
      <c r="P34" s="590">
        <f>SUMIF($AA$28:$AA$30,"landbouw",P28:P30)</f>
        <v>37607.142857142855</v>
      </c>
      <c r="Q34" s="590">
        <f>SUMIF($AA$28:$AA$30,"landbouw",Q28:Q30)</f>
        <v>0</v>
      </c>
      <c r="R34" s="590">
        <f>SUMIF($AA$28:$AA$30,"landbouw",R28:R30)</f>
        <v>0</v>
      </c>
      <c r="S34" s="590">
        <f>SUMIF($AA$28:$AA$30,"landbouw",S28:S30)</f>
        <v>0</v>
      </c>
      <c r="T34" s="590">
        <f>SUMIF($AA$28:$AA$30,"landbouw",T28:T30)</f>
        <v>0</v>
      </c>
      <c r="U34" s="590">
        <f>SUMIF($AA$28:$AA$30,"landbouw",U28:U30)</f>
        <v>0</v>
      </c>
      <c r="V34" s="590">
        <f>SUMIF($AA$28:$AA$30,"landbouw",V28:V30)</f>
        <v>0</v>
      </c>
      <c r="W34" s="590">
        <f>SUMIF($AA$28:$AA$30,"landbouw",W28:W30)</f>
        <v>0</v>
      </c>
      <c r="X34" s="590"/>
      <c r="Y34" s="591"/>
      <c r="Z34" s="591"/>
      <c r="AA34" s="592"/>
    </row>
    <row r="35" spans="1:28" s="532" customFormat="1" ht="15.75" thickBot="1">
      <c r="A35" s="593"/>
      <c r="B35" s="594"/>
      <c r="C35" s="594"/>
      <c r="D35" s="594"/>
      <c r="E35" s="594"/>
      <c r="F35" s="594"/>
      <c r="G35" s="594"/>
      <c r="H35" s="594"/>
      <c r="I35" s="594"/>
      <c r="J35" s="594"/>
      <c r="K35" s="594"/>
      <c r="L35" s="577"/>
      <c r="M35" s="577"/>
      <c r="N35" s="577"/>
      <c r="O35" s="578"/>
      <c r="P35" s="578"/>
    </row>
    <row r="36" spans="1:28" s="532" customFormat="1" ht="45">
      <c r="A36" s="595" t="s">
        <v>270</v>
      </c>
      <c r="B36" s="624" t="s">
        <v>89</v>
      </c>
      <c r="C36" s="624" t="s">
        <v>90</v>
      </c>
      <c r="D36" s="624"/>
      <c r="E36" s="624"/>
      <c r="F36" s="624"/>
      <c r="G36" s="624" t="s">
        <v>91</v>
      </c>
      <c r="H36" s="624" t="s">
        <v>92</v>
      </c>
      <c r="I36" s="624"/>
      <c r="J36" s="624"/>
      <c r="K36" s="624"/>
      <c r="L36" s="624" t="s">
        <v>93</v>
      </c>
      <c r="M36" s="625" t="s">
        <v>287</v>
      </c>
      <c r="N36" s="625" t="s">
        <v>94</v>
      </c>
      <c r="O36" s="625" t="s">
        <v>95</v>
      </c>
      <c r="P36" s="625" t="s">
        <v>533</v>
      </c>
      <c r="Q36" s="625" t="s">
        <v>96</v>
      </c>
      <c r="R36" s="625" t="s">
        <v>97</v>
      </c>
      <c r="S36" s="625" t="s">
        <v>98</v>
      </c>
      <c r="T36" s="625" t="s">
        <v>99</v>
      </c>
      <c r="U36" s="625" t="s">
        <v>100</v>
      </c>
      <c r="V36" s="625" t="s">
        <v>101</v>
      </c>
      <c r="W36" s="624" t="s">
        <v>102</v>
      </c>
      <c r="X36" s="624" t="s">
        <v>941</v>
      </c>
      <c r="Y36" s="624" t="s">
        <v>288</v>
      </c>
      <c r="Z36" s="624" t="s">
        <v>103</v>
      </c>
      <c r="AA36" s="626" t="s">
        <v>289</v>
      </c>
    </row>
    <row r="37" spans="1:28" s="596" customFormat="1" ht="12.75" hidden="1">
      <c r="A37" s="582"/>
      <c r="B37" s="740"/>
      <c r="C37" s="740"/>
      <c r="D37" s="630"/>
      <c r="E37" s="630"/>
      <c r="F37" s="630"/>
      <c r="G37" s="630"/>
      <c r="H37" s="630"/>
      <c r="I37" s="630"/>
      <c r="J37" s="739"/>
      <c r="K37" s="739"/>
      <c r="L37" s="630"/>
      <c r="M37" s="630"/>
      <c r="N37" s="630"/>
      <c r="O37" s="630"/>
      <c r="P37" s="630"/>
      <c r="Q37" s="630"/>
      <c r="R37" s="630"/>
      <c r="S37" s="630"/>
      <c r="T37" s="630"/>
      <c r="U37" s="630"/>
      <c r="V37" s="630"/>
      <c r="W37" s="630"/>
      <c r="X37" s="630"/>
      <c r="Y37" s="630"/>
      <c r="Z37" s="630"/>
      <c r="AA37" s="631"/>
    </row>
    <row r="38" spans="1:28" s="563" customFormat="1" hidden="1">
      <c r="A38" s="583" t="s">
        <v>269</v>
      </c>
      <c r="B38" s="584"/>
      <c r="C38" s="584"/>
      <c r="D38" s="584"/>
      <c r="E38" s="584"/>
      <c r="F38" s="584"/>
      <c r="G38" s="584"/>
      <c r="H38" s="584"/>
      <c r="I38" s="584"/>
      <c r="J38" s="584"/>
      <c r="K38" s="584"/>
      <c r="L38" s="585"/>
      <c r="M38" s="585">
        <f>SUM(M37:M37)</f>
        <v>0</v>
      </c>
      <c r="N38" s="585">
        <f>SUM(N37:N37)</f>
        <v>0</v>
      </c>
      <c r="O38" s="585">
        <f>SUM(O37:O37)</f>
        <v>0</v>
      </c>
      <c r="P38" s="585">
        <f>SUM(P37:P37)</f>
        <v>0</v>
      </c>
      <c r="Q38" s="585">
        <f>SUM(Q37:Q37)</f>
        <v>0</v>
      </c>
      <c r="R38" s="585">
        <f>SUM(R37:R37)</f>
        <v>0</v>
      </c>
      <c r="S38" s="585">
        <f>SUM(S37:S37)</f>
        <v>0</v>
      </c>
      <c r="T38" s="585">
        <f>SUM(T37:T37)</f>
        <v>0</v>
      </c>
      <c r="U38" s="585">
        <f>SUM(U37:U37)</f>
        <v>0</v>
      </c>
      <c r="V38" s="585">
        <f>SUM(V37:V37)</f>
        <v>0</v>
      </c>
      <c r="W38" s="585">
        <f>SUM(W37:W37)</f>
        <v>0</v>
      </c>
      <c r="X38" s="585"/>
      <c r="Y38" s="586"/>
      <c r="Z38" s="586"/>
      <c r="AA38" s="587"/>
    </row>
    <row r="39" spans="1:28" s="563" customFormat="1">
      <c r="A39" s="583" t="s">
        <v>276</v>
      </c>
      <c r="B39" s="584"/>
      <c r="C39" s="584"/>
      <c r="D39" s="584"/>
      <c r="E39" s="584"/>
      <c r="F39" s="584"/>
      <c r="G39" s="584"/>
      <c r="H39" s="584"/>
      <c r="I39" s="584"/>
      <c r="J39" s="584"/>
      <c r="K39" s="584"/>
      <c r="L39" s="585"/>
      <c r="M39" s="585">
        <f>SUMIF($AA$37:$AA$37,"industrie",M37:M37)</f>
        <v>0</v>
      </c>
      <c r="N39" s="585">
        <f>SUMIF($AA$37:$AA$37,"industrie",N37:N37)</f>
        <v>0</v>
      </c>
      <c r="O39" s="585">
        <f>SUMIF($AA$37:$AA$37,"industrie",O37:O37)</f>
        <v>0</v>
      </c>
      <c r="P39" s="585">
        <f>SUMIF($AA$37:$AA$37,"industrie",P37:P37)</f>
        <v>0</v>
      </c>
      <c r="Q39" s="585">
        <f>SUMIF($AA$37:$AA$37,"industrie",Q37:Q37)</f>
        <v>0</v>
      </c>
      <c r="R39" s="585">
        <f>SUMIF($AA$37:$AA$37,"industrie",R37:R37)</f>
        <v>0</v>
      </c>
      <c r="S39" s="585">
        <f>SUMIF($AA$37:$AA$37,"industrie",S37:S37)</f>
        <v>0</v>
      </c>
      <c r="T39" s="585">
        <f>SUMIF($AA$37:$AA$37,"industrie",T37:T37)</f>
        <v>0</v>
      </c>
      <c r="U39" s="585">
        <f>SUMIF($AA$37:$AA$37,"industrie",U37:U37)</f>
        <v>0</v>
      </c>
      <c r="V39" s="585">
        <f>SUMIF($AA$37:$AA$37,"industrie",V37:V37)</f>
        <v>0</v>
      </c>
      <c r="W39" s="585">
        <f>SUMIF($AA$37:$AA$37,"industrie",W37:W37)</f>
        <v>0</v>
      </c>
      <c r="X39" s="585"/>
      <c r="Y39" s="586"/>
      <c r="Z39" s="586"/>
      <c r="AA39" s="587"/>
    </row>
    <row r="40" spans="1:28" s="563" customFormat="1">
      <c r="A40" s="583" t="s">
        <v>277</v>
      </c>
      <c r="B40" s="584"/>
      <c r="C40" s="584"/>
      <c r="D40" s="584"/>
      <c r="E40" s="584"/>
      <c r="F40" s="584"/>
      <c r="G40" s="584"/>
      <c r="H40" s="584"/>
      <c r="I40" s="584"/>
      <c r="J40" s="584"/>
      <c r="K40" s="584"/>
      <c r="L40" s="585"/>
      <c r="M40" s="585">
        <f>SUMIF($AA$37:$AA$38,"tertiair",M37:M38)</f>
        <v>0</v>
      </c>
      <c r="N40" s="585">
        <f>SUMIF($AA$37:$AA$38,"tertiair",N37:N38)</f>
        <v>0</v>
      </c>
      <c r="O40" s="585">
        <f>SUMIF($AA$37:$AA$38,"tertiair",O37:O38)</f>
        <v>0</v>
      </c>
      <c r="P40" s="585">
        <f>SUMIF($AA$37:$AA$38,"tertiair",P37:P38)</f>
        <v>0</v>
      </c>
      <c r="Q40" s="585">
        <f>SUMIF($AA$37:$AA$38,"tertiair",Q37:Q38)</f>
        <v>0</v>
      </c>
      <c r="R40" s="585">
        <f>SUMIF($AA$37:$AA$38,"tertiair",R37:R38)</f>
        <v>0</v>
      </c>
      <c r="S40" s="585">
        <f>SUMIF($AA$37:$AA$38,"tertiair",S37:S38)</f>
        <v>0</v>
      </c>
      <c r="T40" s="585">
        <f>SUMIF($AA$37:$AA$38,"tertiair",T37:T38)</f>
        <v>0</v>
      </c>
      <c r="U40" s="585">
        <f>SUMIF($AA$37:$AA$38,"tertiair",U37:U38)</f>
        <v>0</v>
      </c>
      <c r="V40" s="585">
        <f>SUMIF($AA$37:$AA$38,"tertiair",V37:V38)</f>
        <v>0</v>
      </c>
      <c r="W40" s="585">
        <f>SUMIF($AA$37:$AA$38,"tertiair",W37:W38)</f>
        <v>0</v>
      </c>
      <c r="X40" s="585"/>
      <c r="Y40" s="586"/>
      <c r="Z40" s="586"/>
      <c r="AA40" s="587"/>
    </row>
    <row r="41" spans="1:28" s="563" customFormat="1" ht="15.75" thickBot="1">
      <c r="A41" s="588" t="s">
        <v>278</v>
      </c>
      <c r="B41" s="589"/>
      <c r="C41" s="589"/>
      <c r="D41" s="589"/>
      <c r="E41" s="589"/>
      <c r="F41" s="589"/>
      <c r="G41" s="589"/>
      <c r="H41" s="589"/>
      <c r="I41" s="589"/>
      <c r="J41" s="589"/>
      <c r="K41" s="589"/>
      <c r="L41" s="590"/>
      <c r="M41" s="590">
        <f>SUMIF($AA$37:$AA$39,"landbouw",M37:M39)</f>
        <v>0</v>
      </c>
      <c r="N41" s="590">
        <f>SUMIF($AA$37:$AA$39,"landbouw",N37:N39)</f>
        <v>0</v>
      </c>
      <c r="O41" s="590">
        <f>SUMIF($AA$37:$AA$39,"landbouw",O37:O39)</f>
        <v>0</v>
      </c>
      <c r="P41" s="590">
        <f>SUMIF($AA$37:$AA$39,"landbouw",P37:P39)</f>
        <v>0</v>
      </c>
      <c r="Q41" s="590">
        <f>SUMIF($AA$37:$AA$39,"landbouw",Q37:Q39)</f>
        <v>0</v>
      </c>
      <c r="R41" s="590">
        <f>SUMIF($AA$37:$AA$39,"landbouw",R37:R39)</f>
        <v>0</v>
      </c>
      <c r="S41" s="590">
        <f>SUMIF($AA$37:$AA$39,"landbouw",S37:S39)</f>
        <v>0</v>
      </c>
      <c r="T41" s="590">
        <f>SUMIF($AA$37:$AA$39,"landbouw",T37:T39)</f>
        <v>0</v>
      </c>
      <c r="U41" s="590">
        <f>SUMIF($AA$37:$AA$39,"landbouw",U37:U39)</f>
        <v>0</v>
      </c>
      <c r="V41" s="590">
        <f>SUMIF($AA$37:$AA$39,"landbouw",V37:V39)</f>
        <v>0</v>
      </c>
      <c r="W41" s="590">
        <f>SUMIF($AA$37:$AA$39,"landbouw",W37:W39)</f>
        <v>0</v>
      </c>
      <c r="X41" s="590"/>
      <c r="Y41" s="591"/>
      <c r="Z41" s="591"/>
      <c r="AA41" s="592"/>
    </row>
    <row r="42" spans="1:28" s="597" customForma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row>
    <row r="43" spans="1:28" s="597" customFormat="1" ht="15.75" thickBot="1">
      <c r="A43" s="593"/>
      <c r="B43" s="577"/>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row>
    <row r="44" spans="1:28">
      <c r="A44" s="598" t="s">
        <v>271</v>
      </c>
      <c r="B44" s="599"/>
      <c r="C44" s="599"/>
      <c r="D44" s="599"/>
      <c r="E44" s="599"/>
      <c r="F44" s="599"/>
      <c r="G44" s="599"/>
      <c r="H44" s="599"/>
      <c r="I44" s="600"/>
      <c r="J44" s="601"/>
      <c r="K44" s="601"/>
      <c r="L44" s="602"/>
      <c r="M44" s="602"/>
      <c r="N44" s="602"/>
      <c r="O44" s="602"/>
      <c r="P44" s="602"/>
    </row>
    <row r="45" spans="1:28">
      <c r="A45" s="604"/>
      <c r="B45" s="594"/>
      <c r="C45" s="594"/>
      <c r="D45" s="594"/>
      <c r="E45" s="594"/>
      <c r="F45" s="594"/>
      <c r="G45" s="594"/>
      <c r="H45" s="594"/>
      <c r="I45" s="605"/>
      <c r="J45" s="594"/>
      <c r="K45" s="594"/>
      <c r="L45" s="602"/>
      <c r="M45" s="602"/>
      <c r="N45" s="602"/>
      <c r="O45" s="602"/>
      <c r="P45" s="602"/>
    </row>
    <row r="46" spans="1:28">
      <c r="A46" s="606"/>
      <c r="B46" s="607" t="s">
        <v>272</v>
      </c>
      <c r="C46" s="607" t="s">
        <v>273</v>
      </c>
      <c r="D46" s="607"/>
      <c r="E46" s="607"/>
      <c r="F46" s="607"/>
      <c r="G46" s="607"/>
      <c r="H46" s="607"/>
      <c r="I46" s="608"/>
      <c r="J46" s="607"/>
      <c r="K46" s="607"/>
      <c r="L46" s="607"/>
      <c r="M46" s="607"/>
      <c r="N46" s="607"/>
      <c r="O46" s="607"/>
      <c r="P46" s="602"/>
    </row>
    <row r="47" spans="1:28">
      <c r="A47" s="604" t="s">
        <v>269</v>
      </c>
      <c r="B47" s="609">
        <f>IF(ISERROR(O31/(O31+N31)),0,O31/(O31+N31))</f>
        <v>0.58823529411764708</v>
      </c>
      <c r="C47" s="610">
        <f>IF(ISERROR(N31/(O31+N31)),0,N31/(N31+O31))</f>
        <v>0.41176470588235298</v>
      </c>
      <c r="D47" s="577"/>
      <c r="E47" s="577"/>
      <c r="F47" s="577"/>
      <c r="G47" s="577"/>
      <c r="H47" s="577"/>
      <c r="I47" s="611"/>
      <c r="J47" s="577"/>
      <c r="K47" s="577"/>
      <c r="L47" s="612"/>
      <c r="M47" s="612"/>
      <c r="N47" s="612"/>
      <c r="O47" s="612"/>
      <c r="P47" s="602"/>
    </row>
    <row r="48" spans="1:28">
      <c r="A48" s="604"/>
      <c r="B48" s="613"/>
      <c r="C48" s="613"/>
      <c r="D48" s="613"/>
      <c r="E48" s="613"/>
      <c r="F48" s="613"/>
      <c r="G48" s="613"/>
      <c r="H48" s="613"/>
      <c r="I48" s="614"/>
      <c r="J48" s="613"/>
      <c r="K48" s="613"/>
      <c r="L48" s="615"/>
      <c r="M48" s="615"/>
      <c r="N48" s="615"/>
      <c r="O48" s="615"/>
      <c r="P48" s="602"/>
    </row>
    <row r="49" spans="1:16" ht="30">
      <c r="A49" s="616"/>
      <c r="B49" s="617" t="s">
        <v>533</v>
      </c>
      <c r="C49" s="617" t="s">
        <v>96</v>
      </c>
      <c r="D49" s="617" t="s">
        <v>97</v>
      </c>
      <c r="E49" s="617" t="s">
        <v>98</v>
      </c>
      <c r="F49" s="617" t="s">
        <v>99</v>
      </c>
      <c r="G49" s="617" t="s">
        <v>100</v>
      </c>
      <c r="H49" s="617" t="s">
        <v>101</v>
      </c>
      <c r="I49" s="618" t="s">
        <v>102</v>
      </c>
      <c r="J49" s="607"/>
      <c r="K49" s="607"/>
      <c r="L49" s="615"/>
      <c r="M49" s="615"/>
      <c r="N49" s="615"/>
      <c r="O49" s="602"/>
      <c r="P49" s="602"/>
    </row>
    <row r="50" spans="1:16">
      <c r="A50" s="606" t="s">
        <v>274</v>
      </c>
      <c r="B50" s="619">
        <f t="shared" ref="B50:I50" si="2">$C$47*P31</f>
        <v>15870.441176470589</v>
      </c>
      <c r="C50" s="619">
        <f t="shared" si="2"/>
        <v>1155.4411764705883</v>
      </c>
      <c r="D50" s="619">
        <f t="shared" si="2"/>
        <v>0</v>
      </c>
      <c r="E50" s="619">
        <f t="shared" si="2"/>
        <v>0</v>
      </c>
      <c r="F50" s="619">
        <f t="shared" si="2"/>
        <v>0</v>
      </c>
      <c r="G50" s="619">
        <f t="shared" si="2"/>
        <v>0</v>
      </c>
      <c r="H50" s="619">
        <f t="shared" si="2"/>
        <v>0</v>
      </c>
      <c r="I50" s="620">
        <f t="shared" si="2"/>
        <v>0</v>
      </c>
      <c r="J50" s="577"/>
      <c r="K50" s="577"/>
      <c r="L50" s="615"/>
      <c r="M50" s="615"/>
      <c r="N50" s="615"/>
      <c r="O50" s="602"/>
      <c r="P50" s="602"/>
    </row>
    <row r="51" spans="1:16" ht="15.75" thickBot="1">
      <c r="A51" s="621" t="s">
        <v>275</v>
      </c>
      <c r="B51" s="622">
        <f t="shared" ref="B51:I51" si="3">$B$47*P31</f>
        <v>22672.058823529413</v>
      </c>
      <c r="C51" s="622">
        <f t="shared" si="3"/>
        <v>1650.6302521008404</v>
      </c>
      <c r="D51" s="622">
        <f t="shared" si="3"/>
        <v>0</v>
      </c>
      <c r="E51" s="622">
        <f t="shared" si="3"/>
        <v>0</v>
      </c>
      <c r="F51" s="622">
        <f t="shared" si="3"/>
        <v>0</v>
      </c>
      <c r="G51" s="622">
        <f t="shared" si="3"/>
        <v>0</v>
      </c>
      <c r="H51" s="622">
        <f t="shared" si="3"/>
        <v>0</v>
      </c>
      <c r="I51" s="623">
        <f t="shared" si="3"/>
        <v>0</v>
      </c>
      <c r="J51" s="577"/>
      <c r="K51" s="577"/>
      <c r="L51" s="615"/>
      <c r="M51" s="615"/>
      <c r="N51" s="615"/>
      <c r="O51" s="602"/>
      <c r="P51" s="602"/>
    </row>
    <row r="52" spans="1:16">
      <c r="J52" s="561"/>
      <c r="K52" s="561"/>
      <c r="L52" s="561"/>
      <c r="M52" s="561"/>
      <c r="N52" s="561"/>
    </row>
    <row r="53" spans="1:16">
      <c r="J53" s="561"/>
      <c r="K53" s="561"/>
      <c r="L53" s="561"/>
      <c r="M53" s="561"/>
      <c r="N53"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9975.0972819355575</v>
      </c>
      <c r="D10" s="639">
        <f ca="1">tertiair!C16</f>
        <v>0</v>
      </c>
      <c r="E10" s="639">
        <f ca="1">tertiair!D16</f>
        <v>34825.279861490184</v>
      </c>
      <c r="F10" s="639">
        <f>tertiair!E16</f>
        <v>81.345164627681157</v>
      </c>
      <c r="G10" s="639">
        <f ca="1">tertiair!F16</f>
        <v>1841.3531244173107</v>
      </c>
      <c r="H10" s="639">
        <f>tertiair!G16</f>
        <v>0</v>
      </c>
      <c r="I10" s="639">
        <f>tertiair!H16</f>
        <v>0</v>
      </c>
      <c r="J10" s="639">
        <f>tertiair!I16</f>
        <v>0</v>
      </c>
      <c r="K10" s="639">
        <f>tertiair!J16</f>
        <v>0</v>
      </c>
      <c r="L10" s="639">
        <f>tertiair!K16</f>
        <v>0</v>
      </c>
      <c r="M10" s="639">
        <f ca="1">tertiair!L16</f>
        <v>0</v>
      </c>
      <c r="N10" s="639">
        <f>tertiair!M16</f>
        <v>0</v>
      </c>
      <c r="O10" s="639">
        <f ca="1">tertiair!N16</f>
        <v>386.28320459201041</v>
      </c>
      <c r="P10" s="639">
        <f>tertiair!O16</f>
        <v>0</v>
      </c>
      <c r="Q10" s="640">
        <f>tertiair!P16</f>
        <v>38.133333333333333</v>
      </c>
      <c r="R10" s="642">
        <f ca="1">SUM(C10:Q10)</f>
        <v>47147.491970396077</v>
      </c>
      <c r="S10" s="68"/>
    </row>
    <row r="11" spans="1:19" s="443" customFormat="1">
      <c r="A11" s="753" t="s">
        <v>214</v>
      </c>
      <c r="B11" s="758"/>
      <c r="C11" s="639">
        <f>huishoudens!B8</f>
        <v>16346.765115147788</v>
      </c>
      <c r="D11" s="639">
        <f>huishoudens!C8</f>
        <v>0</v>
      </c>
      <c r="E11" s="639">
        <f>huishoudens!D8</f>
        <v>31940.937901091802</v>
      </c>
      <c r="F11" s="639">
        <f>huishoudens!E8</f>
        <v>937.46663030865125</v>
      </c>
      <c r="G11" s="639">
        <f>huishoudens!F8</f>
        <v>28580.635815122576</v>
      </c>
      <c r="H11" s="639">
        <f>huishoudens!G8</f>
        <v>0</v>
      </c>
      <c r="I11" s="639">
        <f>huishoudens!H8</f>
        <v>0</v>
      </c>
      <c r="J11" s="639">
        <f>huishoudens!I8</f>
        <v>0</v>
      </c>
      <c r="K11" s="639">
        <f>huishoudens!J8</f>
        <v>518.58567806191741</v>
      </c>
      <c r="L11" s="639">
        <f>huishoudens!K8</f>
        <v>0</v>
      </c>
      <c r="M11" s="639">
        <f>huishoudens!L8</f>
        <v>0</v>
      </c>
      <c r="N11" s="639">
        <f>huishoudens!M8</f>
        <v>0</v>
      </c>
      <c r="O11" s="639">
        <f>huishoudens!N8</f>
        <v>5441.9598992935125</v>
      </c>
      <c r="P11" s="639">
        <f>huishoudens!O8</f>
        <v>70.350000000000009</v>
      </c>
      <c r="Q11" s="640">
        <f>huishoudens!P8</f>
        <v>171.6</v>
      </c>
      <c r="R11" s="642">
        <f>SUM(C11:Q11)</f>
        <v>84008.30103902625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217985.83869361324</v>
      </c>
      <c r="D13" s="639">
        <f>industrie!C18</f>
        <v>1870.7142857142858</v>
      </c>
      <c r="E13" s="639">
        <f>industrie!D18</f>
        <v>116109.19384163532</v>
      </c>
      <c r="F13" s="639">
        <f>industrie!E18</f>
        <v>2054.6748819634413</v>
      </c>
      <c r="G13" s="639">
        <f>industrie!F18</f>
        <v>32716.978399564643</v>
      </c>
      <c r="H13" s="639">
        <f>industrie!G18</f>
        <v>0</v>
      </c>
      <c r="I13" s="639">
        <f>industrie!H18</f>
        <v>0</v>
      </c>
      <c r="J13" s="639">
        <f>industrie!I18</f>
        <v>0</v>
      </c>
      <c r="K13" s="639">
        <f>industrie!J18</f>
        <v>400.97672877504692</v>
      </c>
      <c r="L13" s="639">
        <f>industrie!K18</f>
        <v>0</v>
      </c>
      <c r="M13" s="639">
        <f>industrie!L18</f>
        <v>0</v>
      </c>
      <c r="N13" s="639">
        <f>industrie!M18</f>
        <v>0</v>
      </c>
      <c r="O13" s="639">
        <f>industrie!N18</f>
        <v>1802.0664195073578</v>
      </c>
      <c r="P13" s="639">
        <f>industrie!O18</f>
        <v>0</v>
      </c>
      <c r="Q13" s="640">
        <f>industrie!P18</f>
        <v>0</v>
      </c>
      <c r="R13" s="642">
        <f>SUM(C13:Q13)</f>
        <v>372940.44325077342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244307.70109069659</v>
      </c>
      <c r="D16" s="672">
        <f t="shared" ref="D16:R16" ca="1" si="0">SUM(D9:D15)</f>
        <v>1870.7142857142858</v>
      </c>
      <c r="E16" s="672">
        <f t="shared" ca="1" si="0"/>
        <v>182875.41160421731</v>
      </c>
      <c r="F16" s="672">
        <f t="shared" si="0"/>
        <v>3073.4866768997736</v>
      </c>
      <c r="G16" s="672">
        <f t="shared" ca="1" si="0"/>
        <v>63138.967339104529</v>
      </c>
      <c r="H16" s="672">
        <f t="shared" si="0"/>
        <v>0</v>
      </c>
      <c r="I16" s="672">
        <f t="shared" si="0"/>
        <v>0</v>
      </c>
      <c r="J16" s="672">
        <f t="shared" si="0"/>
        <v>0</v>
      </c>
      <c r="K16" s="672">
        <f t="shared" si="0"/>
        <v>919.56240683696433</v>
      </c>
      <c r="L16" s="672">
        <f t="shared" si="0"/>
        <v>0</v>
      </c>
      <c r="M16" s="672">
        <f t="shared" ca="1" si="0"/>
        <v>0</v>
      </c>
      <c r="N16" s="672">
        <f t="shared" si="0"/>
        <v>0</v>
      </c>
      <c r="O16" s="672">
        <f t="shared" ca="1" si="0"/>
        <v>7630.3095233928807</v>
      </c>
      <c r="P16" s="672">
        <f t="shared" si="0"/>
        <v>70.350000000000009</v>
      </c>
      <c r="Q16" s="672">
        <f t="shared" si="0"/>
        <v>209.73333333333332</v>
      </c>
      <c r="R16" s="672">
        <f t="shared" ca="1" si="0"/>
        <v>504096.23626019573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5.1381702017586832</v>
      </c>
      <c r="D19" s="639">
        <f>transport!C54</f>
        <v>0</v>
      </c>
      <c r="E19" s="639">
        <f>transport!D54</f>
        <v>0</v>
      </c>
      <c r="F19" s="639">
        <f>transport!E54</f>
        <v>0</v>
      </c>
      <c r="G19" s="639">
        <f>transport!F54</f>
        <v>0</v>
      </c>
      <c r="H19" s="639">
        <f>transport!G54</f>
        <v>1024.8182053644452</v>
      </c>
      <c r="I19" s="639">
        <f>transport!H54</f>
        <v>0</v>
      </c>
      <c r="J19" s="639">
        <f>transport!I54</f>
        <v>0</v>
      </c>
      <c r="K19" s="639">
        <f>transport!J54</f>
        <v>0</v>
      </c>
      <c r="L19" s="639">
        <f>transport!K54</f>
        <v>0</v>
      </c>
      <c r="M19" s="639">
        <f>transport!L54</f>
        <v>0</v>
      </c>
      <c r="N19" s="639">
        <f>transport!M54</f>
        <v>45.295873201728917</v>
      </c>
      <c r="O19" s="639">
        <f>transport!N54</f>
        <v>0</v>
      </c>
      <c r="P19" s="639">
        <f>transport!O54</f>
        <v>0</v>
      </c>
      <c r="Q19" s="640">
        <f>transport!P54</f>
        <v>0</v>
      </c>
      <c r="R19" s="642">
        <f>SUM(C19:Q19)</f>
        <v>1075.2522487679328</v>
      </c>
      <c r="S19" s="68"/>
    </row>
    <row r="20" spans="1:19" s="443" customFormat="1">
      <c r="A20" s="753" t="s">
        <v>296</v>
      </c>
      <c r="B20" s="758"/>
      <c r="C20" s="639">
        <f>transport!B14</f>
        <v>6.2426782460557062</v>
      </c>
      <c r="D20" s="639">
        <f>transport!C14</f>
        <v>0</v>
      </c>
      <c r="E20" s="639">
        <f>transport!D14</f>
        <v>7.2956170457260363</v>
      </c>
      <c r="F20" s="639">
        <f>transport!E14</f>
        <v>519.25244268438951</v>
      </c>
      <c r="G20" s="639">
        <f>transport!F14</f>
        <v>0</v>
      </c>
      <c r="H20" s="639">
        <f>transport!G14</f>
        <v>131724.32240960124</v>
      </c>
      <c r="I20" s="639">
        <f>transport!H14</f>
        <v>19113.971116140794</v>
      </c>
      <c r="J20" s="639">
        <f>transport!I14</f>
        <v>0</v>
      </c>
      <c r="K20" s="639">
        <f>transport!J14</f>
        <v>0</v>
      </c>
      <c r="L20" s="639">
        <f>transport!K14</f>
        <v>0</v>
      </c>
      <c r="M20" s="639">
        <f>transport!L14</f>
        <v>0</v>
      </c>
      <c r="N20" s="639">
        <f>transport!M14</f>
        <v>6736.6813435058521</v>
      </c>
      <c r="O20" s="639">
        <f>transport!N14</f>
        <v>0</v>
      </c>
      <c r="P20" s="639">
        <f>transport!O14</f>
        <v>0</v>
      </c>
      <c r="Q20" s="640">
        <f>transport!P14</f>
        <v>0</v>
      </c>
      <c r="R20" s="642">
        <f>SUM(C20:Q20)</f>
        <v>158107.76560722408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11.38084844781439</v>
      </c>
      <c r="D22" s="756">
        <f t="shared" ref="D22:R22" si="1">SUM(D18:D21)</f>
        <v>0</v>
      </c>
      <c r="E22" s="756">
        <f t="shared" si="1"/>
        <v>7.2956170457260363</v>
      </c>
      <c r="F22" s="756">
        <f t="shared" si="1"/>
        <v>519.25244268438951</v>
      </c>
      <c r="G22" s="756">
        <f t="shared" si="1"/>
        <v>0</v>
      </c>
      <c r="H22" s="756">
        <f t="shared" si="1"/>
        <v>132749.1406149657</v>
      </c>
      <c r="I22" s="756">
        <f t="shared" si="1"/>
        <v>19113.971116140794</v>
      </c>
      <c r="J22" s="756">
        <f t="shared" si="1"/>
        <v>0</v>
      </c>
      <c r="K22" s="756">
        <f t="shared" si="1"/>
        <v>0</v>
      </c>
      <c r="L22" s="756">
        <f t="shared" si="1"/>
        <v>0</v>
      </c>
      <c r="M22" s="756">
        <f t="shared" si="1"/>
        <v>0</v>
      </c>
      <c r="N22" s="756">
        <f t="shared" si="1"/>
        <v>6781.9772167075807</v>
      </c>
      <c r="O22" s="756">
        <f t="shared" si="1"/>
        <v>0</v>
      </c>
      <c r="P22" s="756">
        <f t="shared" si="1"/>
        <v>0</v>
      </c>
      <c r="Q22" s="756">
        <f t="shared" si="1"/>
        <v>0</v>
      </c>
      <c r="R22" s="756">
        <f t="shared" si="1"/>
        <v>159183.01785599202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7311.66411285104</v>
      </c>
      <c r="D24" s="639">
        <f>+landbouw!C8</f>
        <v>18803.571428571428</v>
      </c>
      <c r="E24" s="639">
        <f>+landbouw!D8</f>
        <v>0</v>
      </c>
      <c r="F24" s="639">
        <f>+landbouw!E8</f>
        <v>72.204013898736548</v>
      </c>
      <c r="G24" s="639">
        <f>+landbouw!F8</f>
        <v>24393.64613194577</v>
      </c>
      <c r="H24" s="639">
        <f>+landbouw!G8</f>
        <v>0</v>
      </c>
      <c r="I24" s="639">
        <f>+landbouw!H8</f>
        <v>0</v>
      </c>
      <c r="J24" s="639">
        <f>+landbouw!I8</f>
        <v>0</v>
      </c>
      <c r="K24" s="639">
        <f>+landbouw!J8</f>
        <v>729.48215371088679</v>
      </c>
      <c r="L24" s="639">
        <f>+landbouw!K8</f>
        <v>0</v>
      </c>
      <c r="M24" s="639">
        <f>+landbouw!L8</f>
        <v>0</v>
      </c>
      <c r="N24" s="639">
        <f>+landbouw!M8</f>
        <v>0</v>
      </c>
      <c r="O24" s="639">
        <f>+landbouw!N8</f>
        <v>0</v>
      </c>
      <c r="P24" s="639">
        <f>+landbouw!O8</f>
        <v>0</v>
      </c>
      <c r="Q24" s="640">
        <f>+landbouw!P8</f>
        <v>0</v>
      </c>
      <c r="R24" s="642">
        <f>SUM(C24:Q24)</f>
        <v>51310.567840977856</v>
      </c>
      <c r="S24" s="68"/>
    </row>
    <row r="25" spans="1:19" s="443" customFormat="1" ht="15" thickBot="1">
      <c r="A25" s="775" t="s">
        <v>847</v>
      </c>
      <c r="B25" s="941"/>
      <c r="C25" s="942">
        <f>IF(Onbekend_ele_kWh="---",0,Onbekend_ele_kWh)/1000+IF(REST_rest_ele_kWh="---",0,REST_rest_ele_kWh)/1000</f>
        <v>752.33656952523199</v>
      </c>
      <c r="D25" s="942"/>
      <c r="E25" s="942">
        <f>IF(onbekend_gas_kWh="---",0,onbekend_gas_kWh)/1000+IF(REST_rest_gas_kWh="---",0,REST_rest_gas_kWh)/1000</f>
        <v>1199.6219775713901</v>
      </c>
      <c r="F25" s="942"/>
      <c r="G25" s="942"/>
      <c r="H25" s="942"/>
      <c r="I25" s="942"/>
      <c r="J25" s="942"/>
      <c r="K25" s="942"/>
      <c r="L25" s="942"/>
      <c r="M25" s="942"/>
      <c r="N25" s="942"/>
      <c r="O25" s="942"/>
      <c r="P25" s="942"/>
      <c r="Q25" s="943"/>
      <c r="R25" s="642">
        <f>SUM(C25:Q25)</f>
        <v>1951.9585470966222</v>
      </c>
      <c r="S25" s="68"/>
    </row>
    <row r="26" spans="1:19" s="443" customFormat="1" ht="15.75" thickBot="1">
      <c r="A26" s="645" t="s">
        <v>848</v>
      </c>
      <c r="B26" s="761"/>
      <c r="C26" s="756">
        <f>SUM(C24:C25)</f>
        <v>8064.0006823762724</v>
      </c>
      <c r="D26" s="756">
        <f t="shared" ref="D26:R26" si="2">SUM(D24:D25)</f>
        <v>18803.571428571428</v>
      </c>
      <c r="E26" s="756">
        <f t="shared" si="2"/>
        <v>1199.6219775713901</v>
      </c>
      <c r="F26" s="756">
        <f t="shared" si="2"/>
        <v>72.204013898736548</v>
      </c>
      <c r="G26" s="756">
        <f t="shared" si="2"/>
        <v>24393.64613194577</v>
      </c>
      <c r="H26" s="756">
        <f t="shared" si="2"/>
        <v>0</v>
      </c>
      <c r="I26" s="756">
        <f t="shared" si="2"/>
        <v>0</v>
      </c>
      <c r="J26" s="756">
        <f t="shared" si="2"/>
        <v>0</v>
      </c>
      <c r="K26" s="756">
        <f t="shared" si="2"/>
        <v>729.48215371088679</v>
      </c>
      <c r="L26" s="756">
        <f t="shared" si="2"/>
        <v>0</v>
      </c>
      <c r="M26" s="756">
        <f t="shared" si="2"/>
        <v>0</v>
      </c>
      <c r="N26" s="756">
        <f t="shared" si="2"/>
        <v>0</v>
      </c>
      <c r="O26" s="756">
        <f t="shared" si="2"/>
        <v>0</v>
      </c>
      <c r="P26" s="756">
        <f t="shared" si="2"/>
        <v>0</v>
      </c>
      <c r="Q26" s="756">
        <f t="shared" si="2"/>
        <v>0</v>
      </c>
      <c r="R26" s="756">
        <f t="shared" si="2"/>
        <v>53262.526388074475</v>
      </c>
      <c r="S26" s="68"/>
    </row>
    <row r="27" spans="1:19" s="443" customFormat="1" ht="17.25" thickTop="1" thickBot="1">
      <c r="A27" s="646" t="s">
        <v>109</v>
      </c>
      <c r="B27" s="748"/>
      <c r="C27" s="647">
        <f ca="1">C22+C16+C26</f>
        <v>252383.08262152068</v>
      </c>
      <c r="D27" s="647">
        <f t="shared" ref="D27:R27" ca="1" si="3">D22+D16+D26</f>
        <v>20674.285714285714</v>
      </c>
      <c r="E27" s="647">
        <f t="shared" ca="1" si="3"/>
        <v>184082.32919883443</v>
      </c>
      <c r="F27" s="647">
        <f t="shared" si="3"/>
        <v>3664.9431334828996</v>
      </c>
      <c r="G27" s="647">
        <f t="shared" ca="1" si="3"/>
        <v>87532.613471050296</v>
      </c>
      <c r="H27" s="647">
        <f t="shared" si="3"/>
        <v>132749.1406149657</v>
      </c>
      <c r="I27" s="647">
        <f t="shared" si="3"/>
        <v>19113.971116140794</v>
      </c>
      <c r="J27" s="647">
        <f t="shared" si="3"/>
        <v>0</v>
      </c>
      <c r="K27" s="647">
        <f t="shared" si="3"/>
        <v>1649.0445605478512</v>
      </c>
      <c r="L27" s="647">
        <f t="shared" si="3"/>
        <v>0</v>
      </c>
      <c r="M27" s="647">
        <f t="shared" ca="1" si="3"/>
        <v>0</v>
      </c>
      <c r="N27" s="647">
        <f t="shared" si="3"/>
        <v>6781.9772167075807</v>
      </c>
      <c r="O27" s="647">
        <f t="shared" ca="1" si="3"/>
        <v>7630.3095233928807</v>
      </c>
      <c r="P27" s="647">
        <f t="shared" si="3"/>
        <v>70.350000000000009</v>
      </c>
      <c r="Q27" s="647">
        <f t="shared" si="3"/>
        <v>209.73333333333332</v>
      </c>
      <c r="R27" s="647">
        <f t="shared" ca="1" si="3"/>
        <v>716541.78050426231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2145.1995725650268</v>
      </c>
      <c r="D40" s="639">
        <f ca="1">tertiair!C20</f>
        <v>0</v>
      </c>
      <c r="E40" s="639">
        <f ca="1">tertiair!D20</f>
        <v>7034.7065320210177</v>
      </c>
      <c r="F40" s="639">
        <f>tertiair!E20</f>
        <v>18.465352370483622</v>
      </c>
      <c r="G40" s="639">
        <f ca="1">tertiair!F20</f>
        <v>491.641284219422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9690.0127411759495</v>
      </c>
    </row>
    <row r="41" spans="1:18">
      <c r="A41" s="766" t="s">
        <v>214</v>
      </c>
      <c r="B41" s="773"/>
      <c r="C41" s="639">
        <f ca="1">huishoudens!B12</f>
        <v>3515.4618092137089</v>
      </c>
      <c r="D41" s="639">
        <f ca="1">huishoudens!C12</f>
        <v>0</v>
      </c>
      <c r="E41" s="639">
        <f>huishoudens!D12</f>
        <v>6452.0694560205447</v>
      </c>
      <c r="F41" s="639">
        <f>huishoudens!E12</f>
        <v>212.80492508006384</v>
      </c>
      <c r="G41" s="639">
        <f>huishoudens!F12</f>
        <v>7631.0297626377278</v>
      </c>
      <c r="H41" s="639">
        <f>huishoudens!G12</f>
        <v>0</v>
      </c>
      <c r="I41" s="639">
        <f>huishoudens!H12</f>
        <v>0</v>
      </c>
      <c r="J41" s="639">
        <f>huishoudens!I12</f>
        <v>0</v>
      </c>
      <c r="K41" s="639">
        <f>huishoudens!J12</f>
        <v>183.57933003391875</v>
      </c>
      <c r="L41" s="639">
        <f>huishoudens!K12</f>
        <v>0</v>
      </c>
      <c r="M41" s="639">
        <f>huishoudens!L12</f>
        <v>0</v>
      </c>
      <c r="N41" s="639">
        <f>huishoudens!M12</f>
        <v>0</v>
      </c>
      <c r="O41" s="639">
        <f>huishoudens!N12</f>
        <v>0</v>
      </c>
      <c r="P41" s="639">
        <f>huishoudens!O12</f>
        <v>0</v>
      </c>
      <c r="Q41" s="714">
        <f>huishoudens!P12</f>
        <v>0</v>
      </c>
      <c r="R41" s="794">
        <f t="shared" ca="1" si="4"/>
        <v>17994.945282985962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46879.05438652834</v>
      </c>
      <c r="D43" s="639">
        <f ca="1">industrie!C22</f>
        <v>414.39955278753303</v>
      </c>
      <c r="E43" s="639">
        <f>industrie!D22</f>
        <v>23454.057156010338</v>
      </c>
      <c r="F43" s="639">
        <f>industrie!E22</f>
        <v>466.41119820570117</v>
      </c>
      <c r="G43" s="639">
        <f>industrie!F22</f>
        <v>8735.4332326837593</v>
      </c>
      <c r="H43" s="639">
        <f>industrie!G22</f>
        <v>0</v>
      </c>
      <c r="I43" s="639">
        <f>industrie!H22</f>
        <v>0</v>
      </c>
      <c r="J43" s="639">
        <f>industrie!I22</f>
        <v>0</v>
      </c>
      <c r="K43" s="639">
        <f>industrie!J22</f>
        <v>141.94576198636659</v>
      </c>
      <c r="L43" s="639">
        <f>industrie!K22</f>
        <v>0</v>
      </c>
      <c r="M43" s="639">
        <f>industrie!L22</f>
        <v>0</v>
      </c>
      <c r="N43" s="639">
        <f>industrie!M22</f>
        <v>0</v>
      </c>
      <c r="O43" s="639">
        <f>industrie!N22</f>
        <v>0</v>
      </c>
      <c r="P43" s="639">
        <f>industrie!O22</f>
        <v>0</v>
      </c>
      <c r="Q43" s="714">
        <f>industrie!P22</f>
        <v>0</v>
      </c>
      <c r="R43" s="793">
        <f t="shared" ca="1" si="4"/>
        <v>80091.301288202041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52539.715768307076</v>
      </c>
      <c r="D46" s="672">
        <f t="shared" ref="D46:Q46" ca="1" si="5">SUM(D39:D45)</f>
        <v>414.39955278753303</v>
      </c>
      <c r="E46" s="672">
        <f t="shared" ca="1" si="5"/>
        <v>36940.833144051896</v>
      </c>
      <c r="F46" s="672">
        <f t="shared" si="5"/>
        <v>697.68147565624861</v>
      </c>
      <c r="G46" s="672">
        <f t="shared" ca="1" si="5"/>
        <v>16858.104279540908</v>
      </c>
      <c r="H46" s="672">
        <f t="shared" si="5"/>
        <v>0</v>
      </c>
      <c r="I46" s="672">
        <f t="shared" si="5"/>
        <v>0</v>
      </c>
      <c r="J46" s="672">
        <f t="shared" si="5"/>
        <v>0</v>
      </c>
      <c r="K46" s="672">
        <f t="shared" si="5"/>
        <v>325.52509202028534</v>
      </c>
      <c r="L46" s="672">
        <f t="shared" si="5"/>
        <v>0</v>
      </c>
      <c r="M46" s="672">
        <f t="shared" ca="1" si="5"/>
        <v>0</v>
      </c>
      <c r="N46" s="672">
        <f t="shared" si="5"/>
        <v>0</v>
      </c>
      <c r="O46" s="672">
        <f t="shared" ca="1" si="5"/>
        <v>0</v>
      </c>
      <c r="P46" s="672">
        <f t="shared" si="5"/>
        <v>0</v>
      </c>
      <c r="Q46" s="672">
        <f t="shared" si="5"/>
        <v>0</v>
      </c>
      <c r="R46" s="672">
        <f ca="1">SUM(R39:R45)</f>
        <v>107776.25931236395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1.1049917819388233</v>
      </c>
      <c r="D49" s="639">
        <f ca="1">transport!C58</f>
        <v>0</v>
      </c>
      <c r="E49" s="639">
        <f>transport!D58</f>
        <v>0</v>
      </c>
      <c r="F49" s="639">
        <f>transport!E58</f>
        <v>0</v>
      </c>
      <c r="G49" s="639">
        <f>transport!F58</f>
        <v>0</v>
      </c>
      <c r="H49" s="639">
        <f>transport!G58</f>
        <v>273.62646083230692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274.73145261424577</v>
      </c>
    </row>
    <row r="50" spans="1:18">
      <c r="A50" s="769" t="s">
        <v>296</v>
      </c>
      <c r="B50" s="779"/>
      <c r="C50" s="948">
        <f ca="1">transport!B18</f>
        <v>1.3425223159829838</v>
      </c>
      <c r="D50" s="948">
        <f>transport!C18</f>
        <v>0</v>
      </c>
      <c r="E50" s="948">
        <f>transport!D18</f>
        <v>1.4737146432366595</v>
      </c>
      <c r="F50" s="948">
        <f>transport!E18</f>
        <v>117.87030448935643</v>
      </c>
      <c r="G50" s="948">
        <f>transport!F18</f>
        <v>0</v>
      </c>
      <c r="H50" s="948">
        <f>transport!G18</f>
        <v>35170.394083363535</v>
      </c>
      <c r="I50" s="948">
        <f>transport!H18</f>
        <v>4759.3788079190581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40050.459432731164</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2.4475140979218071</v>
      </c>
      <c r="D52" s="672">
        <f t="shared" ref="D52:Q52" ca="1" si="6">SUM(D48:D51)</f>
        <v>0</v>
      </c>
      <c r="E52" s="672">
        <f t="shared" si="6"/>
        <v>1.4737146432366595</v>
      </c>
      <c r="F52" s="672">
        <f t="shared" si="6"/>
        <v>117.87030448935643</v>
      </c>
      <c r="G52" s="672">
        <f t="shared" si="6"/>
        <v>0</v>
      </c>
      <c r="H52" s="672">
        <f t="shared" si="6"/>
        <v>35444.020544195839</v>
      </c>
      <c r="I52" s="672">
        <f t="shared" si="6"/>
        <v>4759.3788079190581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40325.190885345408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1572.4136102443704</v>
      </c>
      <c r="D54" s="948">
        <f ca="1">+landbouw!C12</f>
        <v>4165.3563295654085</v>
      </c>
      <c r="E54" s="948">
        <f>+landbouw!D12</f>
        <v>0</v>
      </c>
      <c r="F54" s="948">
        <f>+landbouw!E12</f>
        <v>16.390311155013197</v>
      </c>
      <c r="G54" s="948">
        <f>+landbouw!F12</f>
        <v>6513.1035172295215</v>
      </c>
      <c r="H54" s="948">
        <f>+landbouw!G12</f>
        <v>0</v>
      </c>
      <c r="I54" s="948">
        <f>+landbouw!H12</f>
        <v>0</v>
      </c>
      <c r="J54" s="948">
        <f>+landbouw!I12</f>
        <v>0</v>
      </c>
      <c r="K54" s="948">
        <f>+landbouw!J12</f>
        <v>258.23668241365391</v>
      </c>
      <c r="L54" s="948">
        <f>+landbouw!K12</f>
        <v>0</v>
      </c>
      <c r="M54" s="948">
        <f>+landbouw!L12</f>
        <v>0</v>
      </c>
      <c r="N54" s="948">
        <f>+landbouw!M12</f>
        <v>0</v>
      </c>
      <c r="O54" s="948">
        <f>+landbouw!N12</f>
        <v>0</v>
      </c>
      <c r="P54" s="948">
        <f>+landbouw!O12</f>
        <v>0</v>
      </c>
      <c r="Q54" s="949">
        <f>+landbouw!P12</f>
        <v>0</v>
      </c>
      <c r="R54" s="671">
        <f ca="1">SUM(C54:Q54)</f>
        <v>12525.500450607968</v>
      </c>
    </row>
    <row r="55" spans="1:18" ht="15" thickBot="1">
      <c r="A55" s="769" t="s">
        <v>847</v>
      </c>
      <c r="B55" s="779"/>
      <c r="C55" s="948">
        <f ca="1">C25*'EF ele_warmte'!B12</f>
        <v>161.79412007272217</v>
      </c>
      <c r="D55" s="948"/>
      <c r="E55" s="948">
        <f>E25*EF_CO2_aardgas</f>
        <v>242.32363946942081</v>
      </c>
      <c r="F55" s="948"/>
      <c r="G55" s="948"/>
      <c r="H55" s="948"/>
      <c r="I55" s="948"/>
      <c r="J55" s="948"/>
      <c r="K55" s="948"/>
      <c r="L55" s="948"/>
      <c r="M55" s="948"/>
      <c r="N55" s="948"/>
      <c r="O55" s="948"/>
      <c r="P55" s="948"/>
      <c r="Q55" s="949"/>
      <c r="R55" s="671">
        <f ca="1">SUM(C55:Q55)</f>
        <v>404.11775954214295</v>
      </c>
    </row>
    <row r="56" spans="1:18" ht="15.75" thickBot="1">
      <c r="A56" s="767" t="s">
        <v>848</v>
      </c>
      <c r="B56" s="780"/>
      <c r="C56" s="672">
        <f ca="1">SUM(C54:C55)</f>
        <v>1734.2077303170925</v>
      </c>
      <c r="D56" s="672">
        <f t="shared" ref="D56:Q56" ca="1" si="7">SUM(D54:D55)</f>
        <v>4165.3563295654085</v>
      </c>
      <c r="E56" s="672">
        <f t="shared" si="7"/>
        <v>242.32363946942081</v>
      </c>
      <c r="F56" s="672">
        <f t="shared" si="7"/>
        <v>16.390311155013197</v>
      </c>
      <c r="G56" s="672">
        <f t="shared" si="7"/>
        <v>6513.1035172295215</v>
      </c>
      <c r="H56" s="672">
        <f t="shared" si="7"/>
        <v>0</v>
      </c>
      <c r="I56" s="672">
        <f t="shared" si="7"/>
        <v>0</v>
      </c>
      <c r="J56" s="672">
        <f t="shared" si="7"/>
        <v>0</v>
      </c>
      <c r="K56" s="672">
        <f t="shared" si="7"/>
        <v>258.23668241365391</v>
      </c>
      <c r="L56" s="672">
        <f t="shared" si="7"/>
        <v>0</v>
      </c>
      <c r="M56" s="672">
        <f t="shared" si="7"/>
        <v>0</v>
      </c>
      <c r="N56" s="672">
        <f t="shared" si="7"/>
        <v>0</v>
      </c>
      <c r="O56" s="672">
        <f t="shared" si="7"/>
        <v>0</v>
      </c>
      <c r="P56" s="672">
        <f t="shared" si="7"/>
        <v>0</v>
      </c>
      <c r="Q56" s="673">
        <f t="shared" si="7"/>
        <v>0</v>
      </c>
      <c r="R56" s="674">
        <f ca="1">SUM(R54:R55)</f>
        <v>12929.618210150111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54276.371012722091</v>
      </c>
      <c r="D61" s="680">
        <f t="shared" ref="D61:Q61" ca="1" si="8">D46+D52+D56</f>
        <v>4579.7558823529416</v>
      </c>
      <c r="E61" s="680">
        <f t="shared" ca="1" si="8"/>
        <v>37184.630498164552</v>
      </c>
      <c r="F61" s="680">
        <f t="shared" si="8"/>
        <v>831.94209130061824</v>
      </c>
      <c r="G61" s="680">
        <f t="shared" ca="1" si="8"/>
        <v>23371.207796770432</v>
      </c>
      <c r="H61" s="680">
        <f t="shared" si="8"/>
        <v>35444.020544195839</v>
      </c>
      <c r="I61" s="680">
        <f t="shared" si="8"/>
        <v>4759.3788079190581</v>
      </c>
      <c r="J61" s="680">
        <f t="shared" si="8"/>
        <v>0</v>
      </c>
      <c r="K61" s="680">
        <f t="shared" si="8"/>
        <v>583.76177443393931</v>
      </c>
      <c r="L61" s="680">
        <f t="shared" si="8"/>
        <v>0</v>
      </c>
      <c r="M61" s="680">
        <f t="shared" ca="1" si="8"/>
        <v>0</v>
      </c>
      <c r="N61" s="680">
        <f t="shared" si="8"/>
        <v>0</v>
      </c>
      <c r="O61" s="680">
        <f t="shared" ca="1" si="8"/>
        <v>0</v>
      </c>
      <c r="P61" s="680">
        <f t="shared" si="8"/>
        <v>0</v>
      </c>
      <c r="Q61" s="680">
        <f t="shared" si="8"/>
        <v>0</v>
      </c>
      <c r="R61" s="680">
        <f ca="1">R46+R52+R56</f>
        <v>161031.06840785948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0.21505550391472217</v>
      </c>
      <c r="D63" s="724">
        <f t="shared" ca="1" si="9"/>
        <v>0.2215194249341528</v>
      </c>
      <c r="E63" s="950">
        <f t="shared" ca="1" si="9"/>
        <v>0.20199999999999999</v>
      </c>
      <c r="F63" s="724">
        <f t="shared" si="9"/>
        <v>0.22700000000000001</v>
      </c>
      <c r="G63" s="724">
        <f t="shared" ca="1" si="9"/>
        <v>0.26700000000000002</v>
      </c>
      <c r="H63" s="724">
        <f t="shared" si="9"/>
        <v>0.26699999999999996</v>
      </c>
      <c r="I63" s="724">
        <f t="shared" si="9"/>
        <v>0.24900000000000003</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6822.6577569277651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982.125</v>
      </c>
      <c r="C76" s="690">
        <f>'lokale energieproductie'!B8*IFERROR(SUM(D76:H76)/SUM(D76:O76),0)</f>
        <v>13489.875</v>
      </c>
      <c r="D76" s="960">
        <f>'lokale energieproductie'!C8</f>
        <v>15870.441176470589</v>
      </c>
      <c r="E76" s="961">
        <f>'lokale energieproductie'!D8</f>
        <v>0</v>
      </c>
      <c r="F76" s="961">
        <f>'lokale energieproductie'!E8</f>
        <v>0</v>
      </c>
      <c r="G76" s="961">
        <f>'lokale energieproductie'!F8</f>
        <v>0</v>
      </c>
      <c r="H76" s="961">
        <f>'lokale energieproductie'!G8</f>
        <v>0</v>
      </c>
      <c r="I76" s="961">
        <f>'lokale energieproductie'!I8</f>
        <v>0</v>
      </c>
      <c r="J76" s="961">
        <f>'lokale energieproductie'!J8</f>
        <v>1155.4411764705883</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3205.8291176470593</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7804.7827569277651</v>
      </c>
      <c r="C78" s="695">
        <f>SUM(C72:C77)</f>
        <v>13489.875</v>
      </c>
      <c r="D78" s="696">
        <f t="shared" ref="D78:H78" si="10">SUM(D76:D77)</f>
        <v>15870.441176470589</v>
      </c>
      <c r="E78" s="696">
        <f t="shared" si="10"/>
        <v>0</v>
      </c>
      <c r="F78" s="696">
        <f t="shared" si="10"/>
        <v>0</v>
      </c>
      <c r="G78" s="696">
        <f t="shared" si="10"/>
        <v>0</v>
      </c>
      <c r="H78" s="696">
        <f t="shared" si="10"/>
        <v>0</v>
      </c>
      <c r="I78" s="696">
        <f>SUM(I76:I77)</f>
        <v>0</v>
      </c>
      <c r="J78" s="696">
        <f>SUM(J76:J77)</f>
        <v>1155.4411764705883</v>
      </c>
      <c r="K78" s="696">
        <f t="shared" ref="K78:L78" si="11">SUM(K76:K77)</f>
        <v>0</v>
      </c>
      <c r="L78" s="696">
        <f t="shared" si="11"/>
        <v>0</v>
      </c>
      <c r="M78" s="696">
        <f>SUM(M76:M77)</f>
        <v>0</v>
      </c>
      <c r="N78" s="696">
        <f>SUM(N76:N77)</f>
        <v>0</v>
      </c>
      <c r="O78" s="804">
        <f>SUM(O76:O77)</f>
        <v>0</v>
      </c>
      <c r="P78" s="697">
        <v>0</v>
      </c>
      <c r="Q78" s="697">
        <f>SUM(Q76:Q77)</f>
        <v>3205.8291176470593</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1403.0357142857142</v>
      </c>
      <c r="C87" s="706">
        <f>'lokale energieproductie'!B17*IFERROR(SUM(D87:H87)/SUM(D87:O87),0)</f>
        <v>19271.25</v>
      </c>
      <c r="D87" s="717">
        <f>'lokale energieproductie'!C17</f>
        <v>22672.058823529413</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1650.6302521008404</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4579.7558823529416</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1403.0357142857142</v>
      </c>
      <c r="C90" s="695">
        <f>SUM(C87:C89)</f>
        <v>19271.25</v>
      </c>
      <c r="D90" s="695">
        <f t="shared" ref="D90:H90" si="12">SUM(D87:D89)</f>
        <v>22672.058823529413</v>
      </c>
      <c r="E90" s="695">
        <f t="shared" si="12"/>
        <v>0</v>
      </c>
      <c r="F90" s="695">
        <f t="shared" si="12"/>
        <v>0</v>
      </c>
      <c r="G90" s="695">
        <f t="shared" si="12"/>
        <v>0</v>
      </c>
      <c r="H90" s="695">
        <f t="shared" si="12"/>
        <v>0</v>
      </c>
      <c r="I90" s="695">
        <f>SUM(I87:I89)</f>
        <v>0</v>
      </c>
      <c r="J90" s="695">
        <f>SUM(J87:J89)</f>
        <v>1650.6302521008404</v>
      </c>
      <c r="K90" s="695">
        <f t="shared" ref="K90:L90" si="13">SUM(K87:K89)</f>
        <v>0</v>
      </c>
      <c r="L90" s="695">
        <f t="shared" si="13"/>
        <v>0</v>
      </c>
      <c r="M90" s="695">
        <f>SUM(M87:M89)</f>
        <v>0</v>
      </c>
      <c r="N90" s="695">
        <f>SUM(N87:N89)</f>
        <v>0</v>
      </c>
      <c r="O90" s="695">
        <f>SUM(O87:O89)</f>
        <v>0</v>
      </c>
      <c r="P90" s="695">
        <v>0</v>
      </c>
      <c r="Q90" s="695">
        <f>SUM(Q87:Q89)</f>
        <v>4579.7558823529416</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16346.765115147788</v>
      </c>
      <c r="C4" s="447">
        <f>huishoudens!C8</f>
        <v>0</v>
      </c>
      <c r="D4" s="447">
        <f>huishoudens!D8</f>
        <v>31940.937901091802</v>
      </c>
      <c r="E4" s="447">
        <f>huishoudens!E8</f>
        <v>937.46663030865125</v>
      </c>
      <c r="F4" s="447">
        <f>huishoudens!F8</f>
        <v>28580.635815122576</v>
      </c>
      <c r="G4" s="447">
        <f>huishoudens!G8</f>
        <v>0</v>
      </c>
      <c r="H4" s="447">
        <f>huishoudens!H8</f>
        <v>0</v>
      </c>
      <c r="I4" s="447">
        <f>huishoudens!I8</f>
        <v>0</v>
      </c>
      <c r="J4" s="447">
        <f>huishoudens!J8</f>
        <v>518.58567806191741</v>
      </c>
      <c r="K4" s="447">
        <f>huishoudens!K8</f>
        <v>0</v>
      </c>
      <c r="L4" s="447">
        <f>huishoudens!L8</f>
        <v>0</v>
      </c>
      <c r="M4" s="447">
        <f>huishoudens!M8</f>
        <v>0</v>
      </c>
      <c r="N4" s="447">
        <f>huishoudens!N8</f>
        <v>5441.9598992935125</v>
      </c>
      <c r="O4" s="447">
        <f>huishoudens!O8</f>
        <v>70.350000000000009</v>
      </c>
      <c r="P4" s="448">
        <f>huishoudens!P8</f>
        <v>171.6</v>
      </c>
      <c r="Q4" s="449">
        <f>SUM(B4:P4)</f>
        <v>84008.30103902625</v>
      </c>
    </row>
    <row r="5" spans="1:17">
      <c r="A5" s="446" t="s">
        <v>149</v>
      </c>
      <c r="B5" s="447">
        <f ca="1">tertiair!B16</f>
        <v>9349.0492819355568</v>
      </c>
      <c r="C5" s="447">
        <f ca="1">tertiair!C16</f>
        <v>0</v>
      </c>
      <c r="D5" s="447">
        <f ca="1">tertiair!D16</f>
        <v>34825.279861490184</v>
      </c>
      <c r="E5" s="447">
        <f>tertiair!E16</f>
        <v>81.345164627681157</v>
      </c>
      <c r="F5" s="447">
        <f ca="1">tertiair!F16</f>
        <v>1841.3531244173107</v>
      </c>
      <c r="G5" s="447">
        <f>tertiair!G16</f>
        <v>0</v>
      </c>
      <c r="H5" s="447">
        <f>tertiair!H16</f>
        <v>0</v>
      </c>
      <c r="I5" s="447">
        <f>tertiair!I16</f>
        <v>0</v>
      </c>
      <c r="J5" s="447">
        <f>tertiair!J16</f>
        <v>0</v>
      </c>
      <c r="K5" s="447">
        <f>tertiair!K16</f>
        <v>0</v>
      </c>
      <c r="L5" s="447">
        <f ca="1">tertiair!L16</f>
        <v>0</v>
      </c>
      <c r="M5" s="447">
        <f>tertiair!M16</f>
        <v>0</v>
      </c>
      <c r="N5" s="447">
        <f ca="1">tertiair!N16</f>
        <v>386.28320459201041</v>
      </c>
      <c r="O5" s="447">
        <f>tertiair!O16</f>
        <v>0</v>
      </c>
      <c r="P5" s="448">
        <f>tertiair!P16</f>
        <v>38.133333333333333</v>
      </c>
      <c r="Q5" s="446">
        <f t="shared" ref="Q5:Q14" ca="1" si="0">SUM(B5:P5)</f>
        <v>46521.443970396074</v>
      </c>
    </row>
    <row r="6" spans="1:17">
      <c r="A6" s="446" t="s">
        <v>187</v>
      </c>
      <c r="B6" s="447">
        <f>'openbare verlichting'!B8</f>
        <v>626.048</v>
      </c>
      <c r="C6" s="447"/>
      <c r="D6" s="447"/>
      <c r="E6" s="447"/>
      <c r="F6" s="447"/>
      <c r="G6" s="447"/>
      <c r="H6" s="447"/>
      <c r="I6" s="447"/>
      <c r="J6" s="447"/>
      <c r="K6" s="447"/>
      <c r="L6" s="447"/>
      <c r="M6" s="447"/>
      <c r="N6" s="447"/>
      <c r="O6" s="447"/>
      <c r="P6" s="448"/>
      <c r="Q6" s="446">
        <f t="shared" si="0"/>
        <v>626.048</v>
      </c>
    </row>
    <row r="7" spans="1:17">
      <c r="A7" s="446" t="s">
        <v>105</v>
      </c>
      <c r="B7" s="447">
        <f>landbouw!B8</f>
        <v>7311.66411285104</v>
      </c>
      <c r="C7" s="447">
        <f>landbouw!C8</f>
        <v>18803.571428571428</v>
      </c>
      <c r="D7" s="447">
        <f>landbouw!D8</f>
        <v>0</v>
      </c>
      <c r="E7" s="447">
        <f>landbouw!E8</f>
        <v>72.204013898736548</v>
      </c>
      <c r="F7" s="447">
        <f>landbouw!F8</f>
        <v>24393.64613194577</v>
      </c>
      <c r="G7" s="447">
        <f>landbouw!G8</f>
        <v>0</v>
      </c>
      <c r="H7" s="447">
        <f>landbouw!H8</f>
        <v>0</v>
      </c>
      <c r="I7" s="447">
        <f>landbouw!I8</f>
        <v>0</v>
      </c>
      <c r="J7" s="447">
        <f>landbouw!J8</f>
        <v>729.48215371088679</v>
      </c>
      <c r="K7" s="447">
        <f>landbouw!K8</f>
        <v>0</v>
      </c>
      <c r="L7" s="447">
        <f>landbouw!L8</f>
        <v>0</v>
      </c>
      <c r="M7" s="447">
        <f>landbouw!M8</f>
        <v>0</v>
      </c>
      <c r="N7" s="447">
        <f>landbouw!N8</f>
        <v>0</v>
      </c>
      <c r="O7" s="447">
        <f>landbouw!O8</f>
        <v>0</v>
      </c>
      <c r="P7" s="448">
        <f>landbouw!P8</f>
        <v>0</v>
      </c>
      <c r="Q7" s="446">
        <f t="shared" si="0"/>
        <v>51310.567840977856</v>
      </c>
    </row>
    <row r="8" spans="1:17">
      <c r="A8" s="446" t="s">
        <v>640</v>
      </c>
      <c r="B8" s="447">
        <f>industrie!B18</f>
        <v>217985.83869361324</v>
      </c>
      <c r="C8" s="447">
        <f>industrie!C18</f>
        <v>1870.7142857142858</v>
      </c>
      <c r="D8" s="447">
        <f>industrie!D18</f>
        <v>116109.19384163532</v>
      </c>
      <c r="E8" s="447">
        <f>industrie!E18</f>
        <v>2054.6748819634413</v>
      </c>
      <c r="F8" s="447">
        <f>industrie!F18</f>
        <v>32716.978399564643</v>
      </c>
      <c r="G8" s="447">
        <f>industrie!G18</f>
        <v>0</v>
      </c>
      <c r="H8" s="447">
        <f>industrie!H18</f>
        <v>0</v>
      </c>
      <c r="I8" s="447">
        <f>industrie!I18</f>
        <v>0</v>
      </c>
      <c r="J8" s="447">
        <f>industrie!J18</f>
        <v>400.97672877504692</v>
      </c>
      <c r="K8" s="447">
        <f>industrie!K18</f>
        <v>0</v>
      </c>
      <c r="L8" s="447">
        <f>industrie!L18</f>
        <v>0</v>
      </c>
      <c r="M8" s="447">
        <f>industrie!M18</f>
        <v>0</v>
      </c>
      <c r="N8" s="447">
        <f>industrie!N18</f>
        <v>1802.0664195073578</v>
      </c>
      <c r="O8" s="447">
        <f>industrie!O18</f>
        <v>0</v>
      </c>
      <c r="P8" s="448">
        <f>industrie!P18</f>
        <v>0</v>
      </c>
      <c r="Q8" s="446">
        <f t="shared" si="0"/>
        <v>372940.44325077342</v>
      </c>
    </row>
    <row r="9" spans="1:17" s="452" customFormat="1">
      <c r="A9" s="450" t="s">
        <v>560</v>
      </c>
      <c r="B9" s="451">
        <f>transport!B14</f>
        <v>6.2426782460557062</v>
      </c>
      <c r="C9" s="451">
        <f>transport!C14</f>
        <v>0</v>
      </c>
      <c r="D9" s="451">
        <f>transport!D14</f>
        <v>7.2956170457260363</v>
      </c>
      <c r="E9" s="451">
        <f>transport!E14</f>
        <v>519.25244268438951</v>
      </c>
      <c r="F9" s="451">
        <f>transport!F14</f>
        <v>0</v>
      </c>
      <c r="G9" s="451">
        <f>transport!G14</f>
        <v>131724.32240960124</v>
      </c>
      <c r="H9" s="451">
        <f>transport!H14</f>
        <v>19113.971116140794</v>
      </c>
      <c r="I9" s="451">
        <f>transport!I14</f>
        <v>0</v>
      </c>
      <c r="J9" s="451">
        <f>transport!J14</f>
        <v>0</v>
      </c>
      <c r="K9" s="451">
        <f>transport!K14</f>
        <v>0</v>
      </c>
      <c r="L9" s="451">
        <f>transport!L14</f>
        <v>0</v>
      </c>
      <c r="M9" s="451">
        <f>transport!M14</f>
        <v>6736.6813435058521</v>
      </c>
      <c r="N9" s="451">
        <f>transport!N14</f>
        <v>0</v>
      </c>
      <c r="O9" s="451">
        <f>transport!O14</f>
        <v>0</v>
      </c>
      <c r="P9" s="451">
        <f>transport!P14</f>
        <v>0</v>
      </c>
      <c r="Q9" s="450">
        <f>SUM(B9:P9)</f>
        <v>158107.76560722408</v>
      </c>
    </row>
    <row r="10" spans="1:17">
      <c r="A10" s="446" t="s">
        <v>550</v>
      </c>
      <c r="B10" s="447">
        <f>transport!B54</f>
        <v>5.1381702017586832</v>
      </c>
      <c r="C10" s="447">
        <f>transport!C54</f>
        <v>0</v>
      </c>
      <c r="D10" s="447">
        <f>transport!D54</f>
        <v>0</v>
      </c>
      <c r="E10" s="447">
        <f>transport!E54</f>
        <v>0</v>
      </c>
      <c r="F10" s="447">
        <f>transport!F54</f>
        <v>0</v>
      </c>
      <c r="G10" s="447">
        <f>transport!G54</f>
        <v>1024.8182053644452</v>
      </c>
      <c r="H10" s="447">
        <f>transport!H54</f>
        <v>0</v>
      </c>
      <c r="I10" s="447">
        <f>transport!I54</f>
        <v>0</v>
      </c>
      <c r="J10" s="447">
        <f>transport!J54</f>
        <v>0</v>
      </c>
      <c r="K10" s="447">
        <f>transport!K54</f>
        <v>0</v>
      </c>
      <c r="L10" s="447">
        <f>transport!L54</f>
        <v>0</v>
      </c>
      <c r="M10" s="447">
        <f>transport!M54</f>
        <v>45.295873201728917</v>
      </c>
      <c r="N10" s="447">
        <f>transport!N54</f>
        <v>0</v>
      </c>
      <c r="O10" s="447">
        <f>transport!O54</f>
        <v>0</v>
      </c>
      <c r="P10" s="448">
        <f>transport!P54</f>
        <v>0</v>
      </c>
      <c r="Q10" s="446">
        <f t="shared" si="0"/>
        <v>1075.2522487679328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752.33656952523199</v>
      </c>
      <c r="C14" s="454"/>
      <c r="D14" s="454">
        <f>'SEAP template'!E25</f>
        <v>1199.6219775713901</v>
      </c>
      <c r="E14" s="454"/>
      <c r="F14" s="454"/>
      <c r="G14" s="454"/>
      <c r="H14" s="454"/>
      <c r="I14" s="454"/>
      <c r="J14" s="454"/>
      <c r="K14" s="454"/>
      <c r="L14" s="454"/>
      <c r="M14" s="454"/>
      <c r="N14" s="454"/>
      <c r="O14" s="454"/>
      <c r="P14" s="455"/>
      <c r="Q14" s="446">
        <f t="shared" si="0"/>
        <v>1951.9585470966222</v>
      </c>
    </row>
    <row r="15" spans="1:17" s="459" customFormat="1">
      <c r="A15" s="456" t="s">
        <v>554</v>
      </c>
      <c r="B15" s="457">
        <f ca="1">SUM(B4:B14)</f>
        <v>252383.08262152071</v>
      </c>
      <c r="C15" s="457">
        <f t="shared" ref="C15:Q15" ca="1" si="1">SUM(C4:C14)</f>
        <v>20674.285714285714</v>
      </c>
      <c r="D15" s="457">
        <f t="shared" ca="1" si="1"/>
        <v>184082.32919883443</v>
      </c>
      <c r="E15" s="457">
        <f t="shared" si="1"/>
        <v>3664.9431334828996</v>
      </c>
      <c r="F15" s="457">
        <f t="shared" ca="1" si="1"/>
        <v>87532.613471050296</v>
      </c>
      <c r="G15" s="457">
        <f t="shared" si="1"/>
        <v>132749.1406149657</v>
      </c>
      <c r="H15" s="457">
        <f t="shared" si="1"/>
        <v>19113.971116140794</v>
      </c>
      <c r="I15" s="457">
        <f t="shared" si="1"/>
        <v>0</v>
      </c>
      <c r="J15" s="457">
        <f t="shared" si="1"/>
        <v>1649.0445605478512</v>
      </c>
      <c r="K15" s="457">
        <f t="shared" si="1"/>
        <v>0</v>
      </c>
      <c r="L15" s="457">
        <f t="shared" ca="1" si="1"/>
        <v>0</v>
      </c>
      <c r="M15" s="457">
        <f t="shared" si="1"/>
        <v>6781.9772167075807</v>
      </c>
      <c r="N15" s="457">
        <f t="shared" ca="1" si="1"/>
        <v>7630.3095233928807</v>
      </c>
      <c r="O15" s="457">
        <f t="shared" si="1"/>
        <v>70.350000000000009</v>
      </c>
      <c r="P15" s="457">
        <f t="shared" si="1"/>
        <v>209.73333333333332</v>
      </c>
      <c r="Q15" s="457">
        <f t="shared" ca="1" si="1"/>
        <v>716541.78050426219</v>
      </c>
    </row>
    <row r="17" spans="1:17">
      <c r="A17" s="460" t="s">
        <v>555</v>
      </c>
      <c r="B17" s="729">
        <f ca="1">huishoudens!B10</f>
        <v>0.21505550391472217</v>
      </c>
      <c r="C17" s="729">
        <f ca="1">huishoudens!C10</f>
        <v>0.2215194249341528</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3515.4618092137089</v>
      </c>
      <c r="C22" s="447">
        <f t="shared" ref="C22:C32" ca="1" si="3">C4*$C$17</f>
        <v>0</v>
      </c>
      <c r="D22" s="447">
        <f t="shared" ref="D22:D32" si="4">D4*$D$17</f>
        <v>6452.0694560205447</v>
      </c>
      <c r="E22" s="447">
        <f t="shared" ref="E22:E32" si="5">E4*$E$17</f>
        <v>212.80492508006384</v>
      </c>
      <c r="F22" s="447">
        <f t="shared" ref="F22:F32" si="6">F4*$F$17</f>
        <v>7631.0297626377278</v>
      </c>
      <c r="G22" s="447">
        <f t="shared" ref="G22:G32" si="7">G4*$G$17</f>
        <v>0</v>
      </c>
      <c r="H22" s="447">
        <f t="shared" ref="H22:H32" si="8">H4*$H$17</f>
        <v>0</v>
      </c>
      <c r="I22" s="447">
        <f t="shared" ref="I22:I32" si="9">I4*$I$17</f>
        <v>0</v>
      </c>
      <c r="J22" s="447">
        <f t="shared" ref="J22:J32" si="10">J4*$J$17</f>
        <v>183.57933003391875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17994.945282985962</v>
      </c>
    </row>
    <row r="23" spans="1:17">
      <c r="A23" s="446" t="s">
        <v>149</v>
      </c>
      <c r="B23" s="447">
        <f t="shared" ca="1" si="2"/>
        <v>2010.5645044502226</v>
      </c>
      <c r="C23" s="447">
        <f t="shared" ca="1" si="3"/>
        <v>0</v>
      </c>
      <c r="D23" s="447">
        <f t="shared" ca="1" si="4"/>
        <v>7034.7065320210177</v>
      </c>
      <c r="E23" s="447">
        <f t="shared" si="5"/>
        <v>18.465352370483622</v>
      </c>
      <c r="F23" s="447">
        <f t="shared" ca="1" si="6"/>
        <v>491.641284219422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9555.3776730611462</v>
      </c>
    </row>
    <row r="24" spans="1:17">
      <c r="A24" s="446" t="s">
        <v>187</v>
      </c>
      <c r="B24" s="447">
        <f t="shared" ca="1" si="2"/>
        <v>134.63506811480397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134.63506811480397</v>
      </c>
    </row>
    <row r="25" spans="1:17">
      <c r="A25" s="446" t="s">
        <v>105</v>
      </c>
      <c r="B25" s="447">
        <f t="shared" ca="1" si="2"/>
        <v>1572.4136102443704</v>
      </c>
      <c r="C25" s="447">
        <f t="shared" ca="1" si="3"/>
        <v>4165.3563295654085</v>
      </c>
      <c r="D25" s="447">
        <f t="shared" si="4"/>
        <v>0</v>
      </c>
      <c r="E25" s="447">
        <f t="shared" si="5"/>
        <v>16.390311155013197</v>
      </c>
      <c r="F25" s="447">
        <f t="shared" si="6"/>
        <v>6513.1035172295215</v>
      </c>
      <c r="G25" s="447">
        <f t="shared" si="7"/>
        <v>0</v>
      </c>
      <c r="H25" s="447">
        <f t="shared" si="8"/>
        <v>0</v>
      </c>
      <c r="I25" s="447">
        <f t="shared" si="9"/>
        <v>0</v>
      </c>
      <c r="J25" s="447">
        <f t="shared" si="10"/>
        <v>258.23668241365391</v>
      </c>
      <c r="K25" s="447">
        <f t="shared" si="11"/>
        <v>0</v>
      </c>
      <c r="L25" s="447">
        <f t="shared" si="12"/>
        <v>0</v>
      </c>
      <c r="M25" s="447">
        <f t="shared" si="13"/>
        <v>0</v>
      </c>
      <c r="N25" s="447">
        <f t="shared" si="14"/>
        <v>0</v>
      </c>
      <c r="O25" s="447">
        <f t="shared" si="15"/>
        <v>0</v>
      </c>
      <c r="P25" s="448">
        <f t="shared" si="16"/>
        <v>0</v>
      </c>
      <c r="Q25" s="446">
        <f t="shared" ca="1" si="17"/>
        <v>12525.500450607968</v>
      </c>
    </row>
    <row r="26" spans="1:17">
      <c r="A26" s="446" t="s">
        <v>640</v>
      </c>
      <c r="B26" s="447">
        <f t="shared" ca="1" si="2"/>
        <v>46879.05438652834</v>
      </c>
      <c r="C26" s="447">
        <f t="shared" ca="1" si="3"/>
        <v>414.39955278753303</v>
      </c>
      <c r="D26" s="447">
        <f t="shared" si="4"/>
        <v>23454.057156010338</v>
      </c>
      <c r="E26" s="447">
        <f t="shared" si="5"/>
        <v>466.41119820570117</v>
      </c>
      <c r="F26" s="447">
        <f t="shared" si="6"/>
        <v>8735.4332326837593</v>
      </c>
      <c r="G26" s="447">
        <f t="shared" si="7"/>
        <v>0</v>
      </c>
      <c r="H26" s="447">
        <f t="shared" si="8"/>
        <v>0</v>
      </c>
      <c r="I26" s="447">
        <f t="shared" si="9"/>
        <v>0</v>
      </c>
      <c r="J26" s="447">
        <f t="shared" si="10"/>
        <v>141.94576198636659</v>
      </c>
      <c r="K26" s="447">
        <f t="shared" si="11"/>
        <v>0</v>
      </c>
      <c r="L26" s="447">
        <f t="shared" si="12"/>
        <v>0</v>
      </c>
      <c r="M26" s="447">
        <f t="shared" si="13"/>
        <v>0</v>
      </c>
      <c r="N26" s="447">
        <f t="shared" si="14"/>
        <v>0</v>
      </c>
      <c r="O26" s="447">
        <f t="shared" si="15"/>
        <v>0</v>
      </c>
      <c r="P26" s="448">
        <f t="shared" si="16"/>
        <v>0</v>
      </c>
      <c r="Q26" s="446">
        <f t="shared" ca="1" si="17"/>
        <v>80091.301288202041</v>
      </c>
    </row>
    <row r="27" spans="1:17" s="452" customFormat="1">
      <c r="A27" s="450" t="s">
        <v>560</v>
      </c>
      <c r="B27" s="723">
        <f t="shared" ca="1" si="2"/>
        <v>1.3425223159829838</v>
      </c>
      <c r="C27" s="451">
        <f t="shared" ca="1" si="3"/>
        <v>0</v>
      </c>
      <c r="D27" s="451">
        <f t="shared" si="4"/>
        <v>1.4737146432366595</v>
      </c>
      <c r="E27" s="451">
        <f t="shared" si="5"/>
        <v>117.87030448935643</v>
      </c>
      <c r="F27" s="451">
        <f t="shared" si="6"/>
        <v>0</v>
      </c>
      <c r="G27" s="451">
        <f t="shared" si="7"/>
        <v>35170.394083363535</v>
      </c>
      <c r="H27" s="451">
        <f t="shared" si="8"/>
        <v>4759.3788079190581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40050.459432731164</v>
      </c>
    </row>
    <row r="28" spans="1:17">
      <c r="A28" s="446" t="s">
        <v>550</v>
      </c>
      <c r="B28" s="447">
        <f t="shared" ca="1" si="2"/>
        <v>1.1049917819388233</v>
      </c>
      <c r="C28" s="447">
        <f t="shared" ca="1" si="3"/>
        <v>0</v>
      </c>
      <c r="D28" s="447">
        <f t="shared" si="4"/>
        <v>0</v>
      </c>
      <c r="E28" s="447">
        <f t="shared" si="5"/>
        <v>0</v>
      </c>
      <c r="F28" s="447">
        <f t="shared" si="6"/>
        <v>0</v>
      </c>
      <c r="G28" s="447">
        <f t="shared" si="7"/>
        <v>273.62646083230692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274.73145261424577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161.79412007272217</v>
      </c>
      <c r="C32" s="447">
        <f t="shared" ca="1" si="3"/>
        <v>0</v>
      </c>
      <c r="D32" s="447">
        <f t="shared" si="4"/>
        <v>242.32363946942081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404.11775954214295</v>
      </c>
    </row>
    <row r="33" spans="1:17" s="459" customFormat="1">
      <c r="A33" s="456" t="s">
        <v>554</v>
      </c>
      <c r="B33" s="457">
        <f ca="1">SUM(B22:B32)</f>
        <v>54276.371012722091</v>
      </c>
      <c r="C33" s="457">
        <f t="shared" ref="C33:Q33" ca="1" si="18">SUM(C22:C32)</f>
        <v>4579.7558823529416</v>
      </c>
      <c r="D33" s="457">
        <f t="shared" ca="1" si="18"/>
        <v>37184.630498164552</v>
      </c>
      <c r="E33" s="457">
        <f t="shared" si="18"/>
        <v>831.94209130061824</v>
      </c>
      <c r="F33" s="457">
        <f t="shared" ca="1" si="18"/>
        <v>23371.207796770432</v>
      </c>
      <c r="G33" s="457">
        <f t="shared" si="18"/>
        <v>35444.020544195839</v>
      </c>
      <c r="H33" s="457">
        <f t="shared" si="18"/>
        <v>4759.3788079190581</v>
      </c>
      <c r="I33" s="457">
        <f t="shared" si="18"/>
        <v>0</v>
      </c>
      <c r="J33" s="457">
        <f t="shared" si="18"/>
        <v>583.76177443393931</v>
      </c>
      <c r="K33" s="457">
        <f t="shared" si="18"/>
        <v>0</v>
      </c>
      <c r="L33" s="457">
        <f t="shared" ca="1" si="18"/>
        <v>0</v>
      </c>
      <c r="M33" s="457">
        <f t="shared" si="18"/>
        <v>0</v>
      </c>
      <c r="N33" s="457">
        <f t="shared" ca="1" si="18"/>
        <v>0</v>
      </c>
      <c r="O33" s="457">
        <f t="shared" si="18"/>
        <v>0</v>
      </c>
      <c r="P33" s="457">
        <f t="shared" si="18"/>
        <v>0</v>
      </c>
      <c r="Q33" s="457">
        <f t="shared" ca="1" si="18"/>
        <v>161031.06840785948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6822.6577569277651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982.125</v>
      </c>
      <c r="C8" s="977">
        <f>'SEAP template'!C76</f>
        <v>13489.875</v>
      </c>
      <c r="D8" s="977">
        <f>'SEAP template'!D76</f>
        <v>15870.441176470589</v>
      </c>
      <c r="E8" s="977">
        <f>'SEAP template'!E76</f>
        <v>0</v>
      </c>
      <c r="F8" s="977">
        <f>'SEAP template'!F76</f>
        <v>0</v>
      </c>
      <c r="G8" s="977">
        <f>'SEAP template'!G76</f>
        <v>0</v>
      </c>
      <c r="H8" s="977">
        <f>'SEAP template'!H76</f>
        <v>0</v>
      </c>
      <c r="I8" s="977">
        <f>'SEAP template'!I76</f>
        <v>0</v>
      </c>
      <c r="J8" s="977">
        <f>'SEAP template'!J76</f>
        <v>1155.4411764705883</v>
      </c>
      <c r="K8" s="977">
        <f>'SEAP template'!K76</f>
        <v>0</v>
      </c>
      <c r="L8" s="977">
        <f>'SEAP template'!L76</f>
        <v>0</v>
      </c>
      <c r="M8" s="977">
        <f>'SEAP template'!M76</f>
        <v>0</v>
      </c>
      <c r="N8" s="977">
        <f>'SEAP template'!N76</f>
        <v>0</v>
      </c>
      <c r="O8" s="977">
        <f>'SEAP template'!O76</f>
        <v>0</v>
      </c>
      <c r="P8" s="978">
        <f>'SEAP template'!Q76</f>
        <v>3205.8291176470593</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7804.7827569277651</v>
      </c>
      <c r="C10" s="981">
        <f>SUM(C4:C9)</f>
        <v>13489.875</v>
      </c>
      <c r="D10" s="981">
        <f t="shared" ref="D10:H10" si="0">SUM(D8:D9)</f>
        <v>15870.441176470589</v>
      </c>
      <c r="E10" s="981">
        <f t="shared" si="0"/>
        <v>0</v>
      </c>
      <c r="F10" s="981">
        <f t="shared" si="0"/>
        <v>0</v>
      </c>
      <c r="G10" s="981">
        <f t="shared" si="0"/>
        <v>0</v>
      </c>
      <c r="H10" s="981">
        <f t="shared" si="0"/>
        <v>0</v>
      </c>
      <c r="I10" s="981">
        <f>SUM(I8:I9)</f>
        <v>0</v>
      </c>
      <c r="J10" s="981">
        <f>SUM(J8:J9)</f>
        <v>1155.4411764705883</v>
      </c>
      <c r="K10" s="981">
        <f t="shared" ref="K10:L10" si="1">SUM(K8:K9)</f>
        <v>0</v>
      </c>
      <c r="L10" s="981">
        <f t="shared" si="1"/>
        <v>0</v>
      </c>
      <c r="M10" s="981">
        <f>SUM(M8:M9)</f>
        <v>0</v>
      </c>
      <c r="N10" s="981">
        <f>SUM(N8:N9)</f>
        <v>0</v>
      </c>
      <c r="O10" s="981">
        <f>SUM(O8:O9)</f>
        <v>0</v>
      </c>
      <c r="P10" s="981">
        <f>SUM(P8:P9)</f>
        <v>3205.8291176470593</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0.21505550391472217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1403.0357142857142</v>
      </c>
      <c r="C17" s="984">
        <f>'SEAP template'!C87</f>
        <v>19271.25</v>
      </c>
      <c r="D17" s="978">
        <f>'SEAP template'!D87</f>
        <v>22672.058823529413</v>
      </c>
      <c r="E17" s="978">
        <f>'SEAP template'!E87</f>
        <v>0</v>
      </c>
      <c r="F17" s="978">
        <f>'SEAP template'!F87</f>
        <v>0</v>
      </c>
      <c r="G17" s="978">
        <f>'SEAP template'!G87</f>
        <v>0</v>
      </c>
      <c r="H17" s="978">
        <f>'SEAP template'!H87</f>
        <v>0</v>
      </c>
      <c r="I17" s="978">
        <f>'SEAP template'!I87</f>
        <v>0</v>
      </c>
      <c r="J17" s="978">
        <f>'SEAP template'!J87</f>
        <v>1650.6302521008404</v>
      </c>
      <c r="K17" s="978">
        <f>'SEAP template'!K87</f>
        <v>0</v>
      </c>
      <c r="L17" s="978">
        <f>'SEAP template'!L87</f>
        <v>0</v>
      </c>
      <c r="M17" s="978">
        <f>'SEAP template'!M87</f>
        <v>0</v>
      </c>
      <c r="N17" s="978">
        <f>'SEAP template'!N87</f>
        <v>0</v>
      </c>
      <c r="O17" s="978">
        <f>'SEAP template'!O87</f>
        <v>0</v>
      </c>
      <c r="P17" s="978">
        <f>'SEAP template'!Q87</f>
        <v>4579.7558823529416</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1403.0357142857142</v>
      </c>
      <c r="C20" s="981">
        <f>SUM(C17:C19)</f>
        <v>19271.25</v>
      </c>
      <c r="D20" s="981">
        <f t="shared" ref="D20:H20" si="2">SUM(D17:D19)</f>
        <v>22672.058823529413</v>
      </c>
      <c r="E20" s="981">
        <f t="shared" si="2"/>
        <v>0</v>
      </c>
      <c r="F20" s="981">
        <f t="shared" si="2"/>
        <v>0</v>
      </c>
      <c r="G20" s="981">
        <f t="shared" si="2"/>
        <v>0</v>
      </c>
      <c r="H20" s="981">
        <f t="shared" si="2"/>
        <v>0</v>
      </c>
      <c r="I20" s="981">
        <f>SUM(I17:I19)</f>
        <v>0</v>
      </c>
      <c r="J20" s="981">
        <f>SUM(J17:J19)</f>
        <v>1650.6302521008404</v>
      </c>
      <c r="K20" s="981">
        <f t="shared" ref="K20:L20" si="3">SUM(K17:K19)</f>
        <v>0</v>
      </c>
      <c r="L20" s="981">
        <f t="shared" si="3"/>
        <v>0</v>
      </c>
      <c r="M20" s="981">
        <f>SUM(M17:M19)</f>
        <v>0</v>
      </c>
      <c r="N20" s="981">
        <f>SUM(N17:N19)</f>
        <v>0</v>
      </c>
      <c r="O20" s="981">
        <f>SUM(O17:O19)</f>
        <v>0</v>
      </c>
      <c r="P20" s="981">
        <f>SUM(P17:P19)</f>
        <v>4579.7558823529416</v>
      </c>
    </row>
    <row r="22" spans="1:16">
      <c r="A22" s="460" t="s">
        <v>867</v>
      </c>
      <c r="B22" s="729" t="s">
        <v>861</v>
      </c>
      <c r="C22" s="729">
        <f ca="1">'EF ele_warmte'!B22</f>
        <v>0.2215194249341528</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0.21505550391472217</v>
      </c>
      <c r="C17" s="496">
        <f ca="1">'EF ele_warmte'!B22</f>
        <v>0.2215194249341528</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2022-07-26T12:32:21Z</dcterms:modified>
</cp:coreProperties>
</file>