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7CEFDD3-2692-4494-9913-9AA57142DE3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<sst xmlns="http://schemas.openxmlformats.org/spreadsheetml/2006/main" count="2502" uniqueCount="945">
  <si>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</si>
  <si>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</si>
  <si>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</si>
  <si>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</si>
  <si>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</si>
  <si>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</si>
  <si>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</si>
  <si>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</si>
  <si>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</si>
  <si>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</si>
  <si>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</si>
  <si>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</si>
  <si>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</si>
  <si>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</si>
  <si>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</si>
  <si>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</si>
  <si>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</si>
  <si>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</si>
  <si>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</si>
  <si>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</si>
  <si>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</si>
  <si>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</si>
  <si>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</si>
  <si>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</si>
  <si>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</si>
  <si>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</si>
  <si>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</si>
  <si>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</si>
  <si>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</si>
  <si>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</si>
  <si>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</si>
  <si>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</si>
  <si>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</si>
  <si>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</si>
  <si>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</si>
  <si>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</si>
  <si>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</si>
  <si>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</si>
  <si>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</si>
  <si>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</si>
  <si>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</si>
  <si>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</si>
  <si>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</si>
  <si>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</si>
  <si>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</si>
  <si>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</si>
  <si>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</si>
  <si>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</si>
  <si>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</si>
  <si>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</si>
  <si>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</si>
  <si>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</si>
  <si>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</si>
  <si>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</si>
  <si>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</si>
  <si>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</si>
  <si>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</si>
  <si>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</si>
  <si>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</si>
  <si>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</si>
  <si>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</si>
  <si>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</si>
  <si>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</si>
  <si>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</si>
  <si>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</si>
  <si>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</si>
  <si>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</si>
  <si>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</si>
  <si>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</si>
  <si>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</si>
  <si>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</si>
  <si>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</si>
  <si>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</si>
  <si>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</si>
  <si>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</si>
  <si>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</si>
  <si>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</si>
  <si>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</si>
  <si>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</si>
  <si>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</si>
  <si>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</si>
  <si>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</si>
  <si>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</si>
  <si>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</si>
  <si>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</si>
  <si>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</si>
  <si>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</si>
  <si>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</si>
  <si>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</si>
  <si>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</si>
  <si>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</si>
  <si>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</si>
  <si>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</si>
  <si>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</si>
  <si>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</si>
  <si>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</si>
  <si>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</si>
  <si>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</si>
  <si>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</si>
  <si>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</si>
  <si>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</si>
  <si>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</si>
  <si>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</si>
  <si>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</si>
  <si>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</si>
  <si>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</si>
  <si>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</si>
  <si>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</si>
  <si>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</si>
  <si>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</si>
  <si>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</si>
  <si>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</si>
  <si>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</si>
  <si>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</si>
  <si>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</si>
  <si>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</si>
  <si>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</si>
  <si>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</si>
  <si>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</si>
  <si>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</si>
  <si>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</si>
  <si>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</si>
  <si>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</si>
  <si>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</si>
  <si>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</si>
  <si>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</si>
  <si>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</si>
  <si>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</si>
  <si>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</si>
  <si>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</si>
  <si>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</si>
  <si>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</si>
  <si>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</si>
  <si>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</si>
  <si>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</si>
  <si>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</si>
  <si>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</si>
  <si>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</si>
  <si>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</si>
  <si>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</si>
  <si>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</si>
  <si>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</si>
  <si>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</si>
  <si>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</si>
  <si>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</si>
  <si>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</si>
  <si>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</si>
  <si>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</si>
  <si>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</si>
  <si>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</si>
  <si>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</si>
  <si>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</si>
  <si>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</si>
  <si>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</si>
  <si>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</si>
  <si>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</si>
  <si>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</si>
  <si>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</si>
  <si>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</si>
  <si>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</si>
  <si>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</si>
  <si>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</si>
  <si>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</si>
  <si>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</si>
  <si>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</si>
  <si>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</si>
  <si>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</si>
  <si>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</si>
  <si>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</si>
  <si>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</si>
  <si>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</si>
  <si>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</si>
  <si>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</si>
  <si>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</si>
  <si>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</si>
  <si>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</si>
  <si>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</si>
  <si>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</si>
  <si>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</si>
  <si>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</si>
  <si>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</si>
  <si>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</si>
  <si>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</si>
  <si>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</si>
  <si>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</si>
  <si>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</si>
  <si>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</si>
  <si>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</si>
  <si>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</si>
  <si>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</si>
  <si>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</si>
  <si>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</si>
  <si>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</si>
  <si>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</si>
  <si>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</si>
  <si>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</si>
  <si>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</si>
  <si>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</si>
  <si>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</si>
  <si>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</si>
  <si>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</si>
  <si>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</si>
  <si>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</si>
  <si>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</si>
  <si>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</si>
  <si>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</si>
  <si>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</si>
  <si>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</si>
  <si>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</si>
  <si>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</si>
  <si>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</si>
  <si>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</si>
  <si>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</si>
  <si>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</si>
  <si>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</si>
  <si>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</si>
  <si>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</si>
  <si>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</si>
  <si>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</si>
  <si>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</si>
  <si>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</si>
  <si>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</si>
  <si>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</si>
  <si>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</si>
  <si>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</si>
  <si>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</si>
  <si>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</si>
  <si>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</si>
  <si>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</si>
  <si>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</si>
  <si>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</si>
  <si>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</si>
  <si>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</si>
  <si>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</si>
  <si>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</si>
  <si>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</si>
  <si>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</si>
  <si>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</si>
  <si>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</si>
  <si>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</si>
  <si>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</si>
  <si>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</si>
  <si>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</si>
  <si>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</si>
  <si>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</si>
  <si>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</si>
  <si>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</si>
  <si>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</si>
  <si>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</si>
  <si>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</si>
  <si>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</si>
  <si>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</si>
  <si>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</si>
  <si>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</si>
  <si>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</si>
  <si>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</si>
  <si>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</si>
  <si>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</si>
  <si>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</si>
  <si>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</si>
  <si>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</si>
  <si>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</si>
  <si>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</si>
  <si>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</si>
  <si>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</si>
  <si>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</si>
  <si>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</si>
  <si>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</si>
  <si>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</si>
  <si>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</si>
  <si>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</si>
  <si>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</si>
  <si>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</si>
  <si>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</si>
  <si>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</si>
  <si>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</si>
  <si>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</si>
  <si>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</si>
  <si>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</si>
  <si>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</si>
  <si>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</si>
  <si>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</si>
  <si>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</si>
  <si>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</si>
  <si>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</si>
  <si>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</si>
  <si>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</si>
  <si>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</si>
  <si>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</si>
  <si>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</si>
  <si>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</si>
  <si>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</si>
  <si>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</si>
  <si>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</si>
  <si>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</si>
  <si>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</si>
  <si>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</si>
  <si>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</si>
  <si>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</si>
  <si>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</si>
  <si>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</si>
  <si>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</si>
  <si>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</si>
  <si>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</si>
  <si>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</si>
  <si>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</si>
  <si>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</si>
  <si>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</si>
  <si>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</si>
  <si>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</si>
  <si>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</si>
  <si>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</si>
  <si>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</si>
  <si>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</si>
  <si>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</si>
  <si>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</si>
  <si>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</si>
  <si>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</si>
  <si>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</si>
  <si>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</si>
  <si>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</si>
  <si>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</si>
  <si>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</si>
  <si>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</si>
  <si>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</si>
  <si>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</si>
  <si>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</si>
  <si>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</si>
  <si>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</si>
  <si>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</si>
  <si>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</si>
  <si>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</si>
  <si>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</si>
  <si>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</si>
  <si>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</si>
  <si>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</si>
  <si>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</si>
  <si>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</si>
  <si>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</si>
  <si>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</si>
  <si>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</si>
  <si>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</si>
  <si>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</si>
  <si>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</si>
  <si>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</si>
  <si>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</si>
  <si>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</si>
  <si>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</si>
  <si>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</si>
  <si>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</si>
  <si>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</si>
  <si>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</si>
  <si>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</si>
  <si>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</si>
  <si>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</si>
  <si>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</si>
  <si>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</si>
  <si>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</si>
  <si>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</si>
  <si>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</si>
  <si>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</si>
  <si>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</si>
  <si>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</si>
  <si>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</si>
  <si>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</si>
  <si>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</si>
  <si>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</si>
  <si>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</si>
  <si>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</si>
  <si>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</si>
  <si>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</si>
  <si>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</si>
  <si>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</si>
  <si>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</si>
  <si>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</si>
  <si>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</si>
  <si>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</si>
  <si>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</si>
  <si>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</si>
  <si>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</si>
  <si>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</si>
  <si>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</si>
  <si>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</si>
  <si>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</si>
  <si>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</si>
  <si>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</si>
  <si>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</si>
  <si>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</si>
  <si>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</si>
  <si>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</si>
  <si>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</si>
  <si>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</si>
  <si>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</si>
  <si>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</si>
  <si>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</si>
  <si>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</si>
  <si>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</si>
  <si>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</si>
  <si>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</si>
  <si>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</si>
  <si>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</si>
  <si>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</si>
  <si>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</si>
  <si>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</si>
  <si>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</si>
  <si>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</si>
  <si>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</si>
  <si>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</si>
  <si>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</si>
  <si>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</si>
  <si>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</si>
  <si>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</si>
  <si>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</si>
  <si>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</si>
  <si>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</si>
  <si>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</si>
  <si>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</si>
  <si>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</si>
  <si>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</si>
  <si>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</si>
  <si>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</si>
  <si>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</si>
  <si>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</si>
  <si>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</si>
  <si>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</si>
  <si>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</si>
  <si>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</si>
  <si>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</si>
  <si>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</si>
  <si>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</si>
  <si>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</si>
  <si>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</si>
  <si>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</si>
  <si>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</si>
  <si>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</si>
  <si>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</si>
  <si>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</si>
  <si>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</si>
  <si>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</si>
  <si>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</si>
  <si>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</si>
  <si>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</si>
  <si>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</si>
  <si>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</si>
  <si>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</si>
  <si>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</si>
  <si>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</si>
  <si>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</si>
  <si>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</si>
  <si>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</si>
  <si>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</si>
  <si>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</si>
  <si>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</si>
  <si>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</si>
  <si>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</si>
  <si>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</si>
  <si>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</si>
  <si>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</si>
  <si>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</si>
  <si>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</si>
  <si>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</si>
  <si>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</si>
  <si>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</si>
  <si>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</si>
  <si>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</si>
  <si>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</si>
  <si>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</si>
  <si>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</si>
  <si>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</si>
  <si>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</si>
  <si>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</si>
  <si>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</si>
  <si>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</si>
  <si>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</si>
  <si>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</si>
  <si>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</si>
  <si>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</si>
  <si>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</si>
  <si>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</si>
  <si>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</si>
  <si>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</si>
  <si>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</si>
  <si>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</si>
  <si>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</si>
  <si>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</si>
  <si>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</si>
  <si>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</si>
  <si>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</si>
  <si>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</si>
  <si>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</si>
  <si>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</si>
  <si>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</si>
  <si>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</si>
  <si>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</si>
  <si>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</si>
  <si>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</si>
  <si>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</si>
  <si>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</si>
  <si>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</si>
  <si>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</si>
  <si>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</si>
  <si>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</si>
  <si>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</si>
  <si>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</si>
  <si>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</si>
  <si>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</si>
  <si>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</si>
  <si>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</si>
  <si>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</si>
  <si>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</si>
  <si>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</si>
  <si>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</si>
  <si>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</si>
  <si>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</si>
  <si>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</si>
  <si>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</si>
  <si>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</si>
  <si>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</si>
  <si>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</si>
  <si>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</si>
  <si>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</si>
  <si>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</si>
  <si>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</si>
  <si>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</si>
  <si>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</si>
  <si>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</si>
  <si>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</si>
  <si>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</si>
  <si>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</si>
  <si>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</si>
  <si>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</si>
  <si>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</si>
  <si>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</si>
  <si>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</si>
  <si>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</si>
  <si>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</si>
  <si>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</si>
  <si>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</si>
  <si>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</si>
  <si>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</si>
  <si>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</si>
  <si>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</si>
  <si>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</si>
  <si>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</si>
  <si>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</si>
  <si>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</si>
  <si>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</si>
  <si>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</si>
  <si>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</si>
  <si>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</si>
  <si>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</si>
  <si>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</si>
  <si>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</si>
  <si>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</si>
  <si>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</si>
  <si>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</si>
  <si>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</si>
  <si>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</si>
  <si>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</si>
  <si>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</si>
  <si>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</si>
  <si>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</si>
  <si>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</si>
  <si>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</si>
  <si>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</si>
  <si>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</si>
  <si>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</si>
  <si>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</si>
  <si>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</si>
  <si>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</si>
  <si>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</si>
  <si>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</si>
  <si>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</si>
  <si>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</si>
  <si>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</si>
  <si>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</si>
  <si>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</si>
  <si>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</si>
  <si>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</si>
  <si>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</si>
  <si>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</si>
  <si>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</si>
  <si>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</si>
  <si>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</si>
  <si>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</si>
  <si>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</si>
  <si>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</si>
  <si>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</si>
  <si>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</si>
  <si>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</si>
  <si>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</si>
  <si>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</si>
  <si>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</si>
  <si>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</si>
  <si>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</si>
  <si>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</si>
  <si>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</si>
  <si>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</si>
  <si>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</si>
  <si>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</si>
  <si>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</si>
  <si>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</si>
  <si>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</si>
  <si>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</si>
  <si>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</si>
  <si>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</si>
  <si>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</si>
  <si>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</si>
  <si>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</si>
  <si>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</si>
  <si>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</si>
  <si>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</si>
  <si>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</si>
  <si>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</si>
  <si>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</si>
  <si>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</si>
  <si>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</si>
  <si>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</si>
  <si>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</si>
  <si>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</si>
  <si>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</si>
  <si>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</si>
  <si>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</si>
  <si>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</si>
  <si>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</si>
  <si>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</si>
  <si>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</si>
  <si>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</si>
  <si>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</si>
  <si>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</si>
  <si>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</si>
  <si>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</si>
  <si>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</si>
  <si>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</si>
  <si>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</si>
  <si>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</si>
  <si>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</si>
  <si>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</si>
  <si>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</si>
  <si>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</si>
  <si>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</si>
  <si>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</si>
  <si>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</si>
  <si>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</si>
  <si>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</si>
  <si>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</si>
  <si>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</si>
  <si>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</si>
  <si>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</si>
  <si>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</si>
  <si>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</si>
  <si>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</si>
  <si>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</si>
  <si>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</si>
  <si>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</si>
  <si>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</si>
  <si>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</si>
  <si>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</si>
  <si>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</si>
  <si>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</si>
  <si>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</si>
  <si>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</si>
  <si>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</si>
  <si>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</si>
  <si>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</si>
  <si>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</si>
  <si>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</si>
  <si>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</si>
  <si>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</si>
  <si>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</si>
  <si>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</si>
  <si>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</si>
  <si>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</si>
  <si>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</si>
  <si>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</si>
  <si>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</si>
  <si>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</si>
  <si>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</si>
  <si>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</si>
  <si>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</si>
  <si>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</si>
  <si>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</si>
  <si>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</si>
  <si>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</si>
  <si>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</si>
  <si>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</si>
  <si>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</si>
  <si>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</si>
  <si>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</si>
  <si>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</si>
  <si>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</si>
  <si>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</si>
  <si>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</si>
  <si>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</si>
  <si>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</si>
  <si>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</si>
  <si>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</si>
  <si>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</si>
  <si>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</si>
  <si>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</si>
  <si>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</si>
  <si>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</si>
  <si>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</si>
  <si>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</si>
  <si>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</si>
  <si>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</si>
  <si>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</si>
  <si>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</si>
  <si>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</si>
  <si>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</si>
  <si>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</si>
  <si>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</si>
  <si>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</si>
  <si>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</si>
  <si>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</si>
  <si>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</si>
  <si>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</si>
  <si>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</si>
  <si>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</si>
  <si>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</si>
  <si>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</si>
  <si>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</si>
  <si>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</si>
  <si>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</si>
  <si>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</si>
  <si>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</si>
  <si>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</si>
  <si>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</si>
  <si>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</si>
  <si>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</si>
  <si>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</si>
  <si>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</si>
  <si>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</si>
  <si>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</si>
  <si>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</si>
  <si>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</si>
  <si>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</si>
  <si>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</si>
  <si>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</si>
  <si>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</si>
  <si>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</si>
  <si>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</si>
  <si>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</si>
  <si>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</si>
  <si>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</si>
  <si>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</si>
  <si>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</si>
  <si>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</si>
  <si>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</si>
  <si>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</si>
  <si>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</si>
  <si>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</si>
  <si>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</si>
  <si>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</si>
  <si>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</si>
  <si>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</si>
  <si>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</si>
  <si>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</si>
  <si>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</si>
  <si>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</si>
  <si>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</si>
  <si>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</si>
  <si>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</si>
  <si>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</si>
  <si>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</si>
  <si>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</si>
  <si>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</si>
  <si>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</si>
  <si>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</si>
  <si>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</si>
  <si>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</si>
  <si>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</si>
  <si>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</si>
  <si>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</si>
  <si>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</si>
  <si>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</si>
  <si>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</si>
  <si>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</si>
  <si>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</si>
  <si>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</si>
  <si>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</si>
  <si>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</si>
  <si>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</si>
  <si>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</si>
  <si>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</si>
  <si>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</si>
  <si>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</si>
  <si>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</si>
  <si>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</si>
  <si>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</si>
  <si>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</si>
  <si>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</si>
  <si>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</si>
  <si>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</si>
  <si>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</si>
  <si>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</si>
  <si>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</si>
  <si>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</si>
  <si>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</si>
  <si>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</si>
  <si>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</si>
  <si>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</si>
  <si>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</si>
  <si>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</si>
  <si>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</si>
  <si>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</si>
  <si>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</si>
  <si>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</si>
  <si>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</si>
  <si>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</si>
  <si>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</si>
  <si>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</si>
  <si>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</si>
  <si>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</si>
  <si>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</si>
  <si>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</si>
  <si>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</si>
  <si>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</si>
  <si>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</si>
  <si>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</si>
  <si>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</si>
  <si>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</si>
  <si>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</si>
  <si>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</si>
  <si>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</si>
  <si>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</si>
  <si>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</si>
  <si>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</si>
  <si>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</si>
  <si>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</si>
  <si>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</si>
  <si>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</si>
  <si>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</si>
  <si>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</si>
  <si>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</si>
  <si>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</si>
  <si>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</si>
  <si>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</si>
  <si>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</si>
  <si>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</si>
  <si>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</si>
  <si>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</si>
  <si>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</si>
  <si>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</si>
  <si>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</si>
  <si>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</si>
  <si>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</si>
  <si>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</si>
  <si>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</si>
  <si>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</si>
  <si>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</si>
  <si>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</si>
  <si>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</si>
  <si>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</si>
  <si>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</si>
  <si>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</si>
  <si>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</si>
  <si>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</si>
  <si>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</si>
  <si>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</si>
  <si>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</si>
  <si>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</si>
  <si>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</si>
  <si>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</si>
  <si>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</si>
  <si>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</si>
  <si>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</si>
  <si>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</si>
  <si>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</si>
  <si>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</si>
  <si>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</si>
  <si>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</si>
  <si>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</si>
  <si>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</si>
  <si>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</si>
  <si>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</si>
  <si>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</si>
  <si>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</si>
  <si>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</si>
  <si>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</si>
  <si>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</si>
  <si>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</si>
  <si>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</si>
  <si>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</si>
  <si>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</si>
  <si>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</si>
  <si>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</si>
  <si>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</si>
  <si>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</si>
  <si>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</si>
  <si>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</si>
  <si>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</si>
  <si>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</si>
  <si>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</si>
  <si>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</si>
  <si>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</si>
  <si>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</si>
  <si>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</si>
  <si>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</si>
  <si>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</si>
  <si>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</si>
  <si>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</si>
  <si>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</si>
  <si>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</si>
  <si>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</si>
  <si>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</si>
  <si>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</si>
  <si>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</si>
  <si>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</si>
  <si>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</si>
  <si>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</si>
  <si>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</si>
  <si>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</si>
  <si>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</si>
  <si>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</si>
  <si>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</si>
  <si>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</si>
  <si>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</si>
  <si>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</si>
  <si>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</si>
  <si>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</si>
  <si>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</si>
  <si>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</si>
  <si>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</si>
  <si>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</si>
  <si>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</si>
  <si>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</si>
  <si>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</si>
  <si>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</si>
  <si>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</si>
  <si>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</si>
  <si>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</si>
  <si>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</si>
  <si>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</si>
  <si>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</si>
  <si>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</si>
  <si>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</si>
  <si>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36006</t>
  </si>
  <si>
    <t>HOOGLEDE</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</si>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</sst>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D6FF30D-6C6E-45F2-BF9B-91EBCC19A85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36006</v>
      </c>
      <c r="B6" s="384"/>
      <c r="C6" s="385"/>
    </row>
    <row r="7" spans="1:7" s="382" customFormat="1" ht="15.75" customHeight="1">
      <c r="A7" s="386" t="str">
        <f>txtMunicipality</f>
        <v>HOOGLEDE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0.19421863777224624</v>
      </c>
      <c r="C17" s="496">
        <f ca="1">'EF ele_warmte'!B22</f>
        <v>3.9534630857888447E-3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0.19421863777224624</v>
      </c>
      <c r="C29" s="497">
        <f ca="1">'EF ele_warmte'!B22</f>
        <v>3.9534630857888447E-3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3858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2648</v>
      </c>
      <c r="C14" s="327"/>
      <c r="D14" s="327"/>
      <c r="E14" s="327"/>
      <c r="F14" s="327"/>
    </row>
    <row r="15" spans="1:6">
      <c r="A15" s="1258" t="s">
        <v>177</v>
      </c>
      <c r="B15" s="1259">
        <v>24</v>
      </c>
      <c r="C15" s="327"/>
      <c r="D15" s="327"/>
      <c r="E15" s="327"/>
      <c r="F15" s="327"/>
    </row>
    <row r="16" spans="1:6">
      <c r="A16" s="1258" t="s">
        <v>6</v>
      </c>
      <c r="B16" s="1259">
        <v>702</v>
      </c>
      <c r="C16" s="327"/>
      <c r="D16" s="327"/>
      <c r="E16" s="327"/>
      <c r="F16" s="327"/>
    </row>
    <row r="17" spans="1:6">
      <c r="A17" s="1258" t="s">
        <v>7</v>
      </c>
      <c r="B17" s="1259">
        <v>668</v>
      </c>
      <c r="C17" s="327"/>
      <c r="D17" s="327"/>
      <c r="E17" s="327"/>
      <c r="F17" s="327"/>
    </row>
    <row r="18" spans="1:6">
      <c r="A18" s="1258" t="s">
        <v>8</v>
      </c>
      <c r="B18" s="1259">
        <v>836</v>
      </c>
      <c r="C18" s="327"/>
      <c r="D18" s="327"/>
      <c r="E18" s="327"/>
      <c r="F18" s="327"/>
    </row>
    <row r="19" spans="1:6">
      <c r="A19" s="1258" t="s">
        <v>9</v>
      </c>
      <c r="B19" s="1259">
        <v>811</v>
      </c>
      <c r="C19" s="327"/>
      <c r="D19" s="327"/>
      <c r="E19" s="327"/>
      <c r="F19" s="327"/>
    </row>
    <row r="20" spans="1:6">
      <c r="A20" s="1258" t="s">
        <v>10</v>
      </c>
      <c r="B20" s="1259">
        <v>642</v>
      </c>
      <c r="C20" s="327"/>
      <c r="D20" s="327"/>
      <c r="E20" s="327"/>
      <c r="F20" s="327"/>
    </row>
    <row r="21" spans="1:6">
      <c r="A21" s="1258" t="s">
        <v>11</v>
      </c>
      <c r="B21" s="1259">
        <v>22142</v>
      </c>
      <c r="C21" s="327"/>
      <c r="D21" s="327"/>
      <c r="E21" s="327"/>
      <c r="F21" s="327"/>
    </row>
    <row r="22" spans="1:6">
      <c r="A22" s="1258" t="s">
        <v>12</v>
      </c>
      <c r="B22" s="1259">
        <v>58820</v>
      </c>
      <c r="C22" s="327"/>
      <c r="D22" s="327"/>
      <c r="E22" s="327"/>
      <c r="F22" s="327"/>
    </row>
    <row r="23" spans="1:6">
      <c r="A23" s="1258" t="s">
        <v>13</v>
      </c>
      <c r="B23" s="1259">
        <v>933</v>
      </c>
      <c r="C23" s="327"/>
      <c r="D23" s="327"/>
      <c r="E23" s="327"/>
      <c r="F23" s="327"/>
    </row>
    <row r="24" spans="1:6">
      <c r="A24" s="1258" t="s">
        <v>14</v>
      </c>
      <c r="B24" s="1259">
        <v>53</v>
      </c>
      <c r="C24" s="327"/>
      <c r="D24" s="327"/>
      <c r="E24" s="327"/>
      <c r="F24" s="327"/>
    </row>
    <row r="25" spans="1:6">
      <c r="A25" s="1258" t="s">
        <v>15</v>
      </c>
      <c r="B25" s="1259">
        <v>6609</v>
      </c>
      <c r="C25" s="327"/>
      <c r="D25" s="327"/>
      <c r="E25" s="327"/>
      <c r="F25" s="327"/>
    </row>
    <row r="26" spans="1:6">
      <c r="A26" s="1258" t="s">
        <v>16</v>
      </c>
      <c r="B26" s="1259">
        <v>390</v>
      </c>
      <c r="C26" s="327"/>
      <c r="D26" s="327"/>
      <c r="E26" s="327"/>
      <c r="F26" s="327"/>
    </row>
    <row r="27" spans="1:6">
      <c r="A27" s="1258" t="s">
        <v>17</v>
      </c>
      <c r="B27" s="1259">
        <v>2</v>
      </c>
      <c r="C27" s="327"/>
      <c r="D27" s="327"/>
      <c r="E27" s="327"/>
      <c r="F27" s="327"/>
    </row>
    <row r="28" spans="1:6">
      <c r="A28" s="1258" t="s">
        <v>18</v>
      </c>
      <c r="B28" s="1260">
        <v>48773</v>
      </c>
      <c r="C28" s="327"/>
      <c r="D28" s="327"/>
      <c r="E28" s="327"/>
      <c r="F28" s="327"/>
    </row>
    <row r="29" spans="1:6">
      <c r="A29" s="1258" t="s">
        <v>939</v>
      </c>
      <c r="B29" s="1260">
        <v>153</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8</v>
      </c>
      <c r="F36" s="1259">
        <v>138942</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22079</v>
      </c>
    </row>
    <row r="39" spans="1:6">
      <c r="A39" s="1258" t="s">
        <v>29</v>
      </c>
      <c r="B39" s="1258" t="s">
        <v>30</v>
      </c>
      <c r="C39" s="1259">
        <v>2376</v>
      </c>
      <c r="D39" s="1259">
        <v>42762340</v>
      </c>
      <c r="E39" s="1259">
        <v>3706</v>
      </c>
      <c r="F39" s="1259">
        <v>17147720</v>
      </c>
    </row>
    <row r="40" spans="1:6">
      <c r="A40" s="1258" t="s">
        <v>29</v>
      </c>
      <c r="B40" s="1258" t="s">
        <v>28</v>
      </c>
      <c r="C40" s="1259">
        <v>0</v>
      </c>
      <c r="D40" s="1259">
        <v>0</v>
      </c>
      <c r="E40" s="1259">
        <v>0</v>
      </c>
      <c r="F40" s="1259">
        <v>0</v>
      </c>
    </row>
    <row r="41" spans="1:6">
      <c r="A41" s="1258" t="s">
        <v>31</v>
      </c>
      <c r="B41" s="1258" t="s">
        <v>32</v>
      </c>
      <c r="C41" s="1259">
        <v>43</v>
      </c>
      <c r="D41" s="1259">
        <v>1187566</v>
      </c>
      <c r="E41" s="1259">
        <v>127</v>
      </c>
      <c r="F41" s="1259">
        <v>24359263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8</v>
      </c>
      <c r="D44" s="1259">
        <v>264103</v>
      </c>
      <c r="E44" s="1259">
        <v>26</v>
      </c>
      <c r="F44" s="1259">
        <v>21109890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13668534</v>
      </c>
      <c r="E47" s="1259">
        <v>5</v>
      </c>
      <c r="F47" s="1259">
        <v>4632831</v>
      </c>
    </row>
    <row r="48" spans="1:6">
      <c r="A48" s="1258" t="s">
        <v>31</v>
      </c>
      <c r="B48" s="1258" t="s">
        <v>28</v>
      </c>
      <c r="C48" s="1259">
        <v>2</v>
      </c>
      <c r="D48" s="1259">
        <v>17183422</v>
      </c>
      <c r="E48" s="1259">
        <v>4</v>
      </c>
      <c r="F48" s="1259">
        <v>214144</v>
      </c>
    </row>
    <row r="49" spans="1:6">
      <c r="A49" s="1258" t="s">
        <v>31</v>
      </c>
      <c r="B49" s="1258" t="s">
        <v>39</v>
      </c>
      <c r="C49" s="1259">
        <v>0</v>
      </c>
      <c r="D49" s="1259">
        <v>0</v>
      </c>
      <c r="E49" s="1259">
        <v>0</v>
      </c>
      <c r="F49" s="1259">
        <v>0</v>
      </c>
    </row>
    <row r="50" spans="1:6">
      <c r="A50" s="1258" t="s">
        <v>31</v>
      </c>
      <c r="B50" s="1258" t="s">
        <v>40</v>
      </c>
      <c r="C50" s="1259">
        <v>6</v>
      </c>
      <c r="D50" s="1259">
        <v>357136</v>
      </c>
      <c r="E50" s="1259">
        <v>9</v>
      </c>
      <c r="F50" s="1259">
        <v>235707</v>
      </c>
    </row>
    <row r="51" spans="1:6">
      <c r="A51" s="1258" t="s">
        <v>41</v>
      </c>
      <c r="B51" s="1258" t="s">
        <v>42</v>
      </c>
      <c r="C51" s="1259">
        <v>30</v>
      </c>
      <c r="D51" s="1259">
        <v>3849567</v>
      </c>
      <c r="E51" s="1259">
        <v>169</v>
      </c>
      <c r="F51" s="1259">
        <v>3753116</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46</v>
      </c>
      <c r="F54" s="1259">
        <v>1055303</v>
      </c>
    </row>
    <row r="55" spans="1:6">
      <c r="A55" s="1258" t="s">
        <v>45</v>
      </c>
      <c r="B55" s="1258" t="s">
        <v>28</v>
      </c>
      <c r="C55" s="1259">
        <v>0</v>
      </c>
      <c r="D55" s="1259">
        <v>0</v>
      </c>
      <c r="E55" s="1259">
        <v>0</v>
      </c>
      <c r="F55" s="1259">
        <v>0</v>
      </c>
    </row>
    <row r="56" spans="1:6">
      <c r="A56" s="1258" t="s">
        <v>47</v>
      </c>
      <c r="B56" s="1258" t="s">
        <v>28</v>
      </c>
      <c r="C56" s="1259">
        <v>44</v>
      </c>
      <c r="D56" s="1259">
        <v>957096</v>
      </c>
      <c r="E56" s="1259">
        <v>58</v>
      </c>
      <c r="F56" s="1259">
        <v>374747</v>
      </c>
    </row>
    <row r="57" spans="1:6">
      <c r="A57" s="1258" t="s">
        <v>48</v>
      </c>
      <c r="B57" s="1258" t="s">
        <v>49</v>
      </c>
      <c r="C57" s="1259">
        <v>26</v>
      </c>
      <c r="D57" s="1259">
        <v>1127710</v>
      </c>
      <c r="E57" s="1259">
        <v>79</v>
      </c>
      <c r="F57" s="1259">
        <v>2102833</v>
      </c>
    </row>
    <row r="58" spans="1:6">
      <c r="A58" s="1258" t="s">
        <v>48</v>
      </c>
      <c r="B58" s="1258" t="s">
        <v>50</v>
      </c>
      <c r="C58" s="1259">
        <v>18</v>
      </c>
      <c r="D58" s="1259">
        <v>7861642</v>
      </c>
      <c r="E58" s="1259">
        <v>20</v>
      </c>
      <c r="F58" s="1259">
        <v>2905939</v>
      </c>
    </row>
    <row r="59" spans="1:6">
      <c r="A59" s="1258" t="s">
        <v>48</v>
      </c>
      <c r="B59" s="1258" t="s">
        <v>51</v>
      </c>
      <c r="C59" s="1259">
        <v>66</v>
      </c>
      <c r="D59" s="1259">
        <v>3352886</v>
      </c>
      <c r="E59" s="1259">
        <v>148</v>
      </c>
      <c r="F59" s="1259">
        <v>4942080</v>
      </c>
    </row>
    <row r="60" spans="1:6">
      <c r="A60" s="1258" t="s">
        <v>48</v>
      </c>
      <c r="B60" s="1258" t="s">
        <v>52</v>
      </c>
      <c r="C60" s="1259">
        <v>15</v>
      </c>
      <c r="D60" s="1259">
        <v>1305680</v>
      </c>
      <c r="E60" s="1259">
        <v>22</v>
      </c>
      <c r="F60" s="1259">
        <v>531674</v>
      </c>
    </row>
    <row r="61" spans="1:6">
      <c r="A61" s="1258" t="s">
        <v>48</v>
      </c>
      <c r="B61" s="1258" t="s">
        <v>53</v>
      </c>
      <c r="C61" s="1259">
        <v>83</v>
      </c>
      <c r="D61" s="1259">
        <v>4592532</v>
      </c>
      <c r="E61" s="1259">
        <v>143</v>
      </c>
      <c r="F61" s="1259">
        <v>3124182</v>
      </c>
    </row>
    <row r="62" spans="1:6">
      <c r="A62" s="1258" t="s">
        <v>48</v>
      </c>
      <c r="B62" s="1258" t="s">
        <v>54</v>
      </c>
      <c r="C62" s="1259">
        <v>6</v>
      </c>
      <c r="D62" s="1259">
        <v>614986</v>
      </c>
      <c r="E62" s="1259">
        <v>9</v>
      </c>
      <c r="F62" s="1259">
        <v>53355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93385</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12</v>
      </c>
      <c r="F68" s="1261">
        <v>120306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48023737</v>
      </c>
      <c r="E73" s="445"/>
      <c r="F73" s="327"/>
    </row>
    <row r="74" spans="1:6">
      <c r="A74" s="1258" t="s">
        <v>63</v>
      </c>
      <c r="B74" s="1258" t="s">
        <v>724</v>
      </c>
      <c r="C74" s="1271" t="s">
        <v>718</v>
      </c>
      <c r="D74" s="1259">
        <v>6303299.1664801827</v>
      </c>
      <c r="E74" s="445"/>
      <c r="F74" s="327"/>
    </row>
    <row r="75" spans="1:6">
      <c r="A75" s="1258" t="s">
        <v>64</v>
      </c>
      <c r="B75" s="1258" t="s">
        <v>723</v>
      </c>
      <c r="C75" s="1271" t="s">
        <v>719</v>
      </c>
      <c r="D75" s="1259">
        <v>20739015</v>
      </c>
      <c r="E75" s="445"/>
      <c r="F75" s="327"/>
    </row>
    <row r="76" spans="1:6">
      <c r="A76" s="1258" t="s">
        <v>64</v>
      </c>
      <c r="B76" s="1258" t="s">
        <v>724</v>
      </c>
      <c r="C76" s="1271" t="s">
        <v>720</v>
      </c>
      <c r="D76" s="1259">
        <v>3274552.1664801827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154391.66703963481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2750.1529492989762</v>
      </c>
      <c r="C91" s="327"/>
      <c r="D91" s="327"/>
      <c r="E91" s="327"/>
      <c r="F91" s="327"/>
    </row>
    <row r="92" spans="1:6">
      <c r="A92" s="1253" t="s">
        <v>68</v>
      </c>
      <c r="B92" s="1254">
        <v>3879.4278349627079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1600</v>
      </c>
      <c r="C97" s="327"/>
      <c r="D97" s="327"/>
      <c r="E97" s="327"/>
      <c r="F97" s="327"/>
    </row>
    <row r="98" spans="1:6">
      <c r="A98" s="1258" t="s">
        <v>71</v>
      </c>
      <c r="B98" s="1259">
        <v>0</v>
      </c>
      <c r="C98" s="327"/>
      <c r="D98" s="327"/>
      <c r="E98" s="327"/>
      <c r="F98" s="327"/>
    </row>
    <row r="99" spans="1:6">
      <c r="A99" s="1258" t="s">
        <v>72</v>
      </c>
      <c r="B99" s="1259">
        <v>132</v>
      </c>
      <c r="C99" s="327"/>
      <c r="D99" s="327"/>
      <c r="E99" s="327"/>
      <c r="F99" s="327"/>
    </row>
    <row r="100" spans="1:6">
      <c r="A100" s="1258" t="s">
        <v>73</v>
      </c>
      <c r="B100" s="1259">
        <v>309</v>
      </c>
      <c r="C100" s="327"/>
      <c r="D100" s="327"/>
      <c r="E100" s="327"/>
      <c r="F100" s="327"/>
    </row>
    <row r="101" spans="1:6">
      <c r="A101" s="1258" t="s">
        <v>74</v>
      </c>
      <c r="B101" s="1259">
        <v>104</v>
      </c>
      <c r="C101" s="327"/>
      <c r="D101" s="327"/>
      <c r="E101" s="327"/>
      <c r="F101" s="327"/>
    </row>
    <row r="102" spans="1:6">
      <c r="A102" s="1258" t="s">
        <v>75</v>
      </c>
      <c r="B102" s="1259">
        <v>64</v>
      </c>
      <c r="C102" s="327"/>
      <c r="D102" s="327"/>
      <c r="E102" s="327"/>
      <c r="F102" s="327"/>
    </row>
    <row r="103" spans="1:6">
      <c r="A103" s="1258" t="s">
        <v>76</v>
      </c>
      <c r="B103" s="1259">
        <v>98</v>
      </c>
      <c r="C103" s="327"/>
      <c r="D103" s="327"/>
      <c r="E103" s="327"/>
      <c r="F103" s="327"/>
    </row>
    <row r="104" spans="1:6">
      <c r="A104" s="1258" t="s">
        <v>77</v>
      </c>
      <c r="B104" s="1259">
        <v>1210</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33</v>
      </c>
      <c r="C129" s="327"/>
      <c r="D129" s="327"/>
      <c r="E129" s="327"/>
      <c r="F129" s="327"/>
    </row>
    <row r="130" spans="1:6">
      <c r="A130" s="1258" t="s">
        <v>284</v>
      </c>
      <c r="B130" s="1259">
        <v>0</v>
      </c>
      <c r="C130" s="327"/>
      <c r="D130" s="327"/>
      <c r="E130" s="327"/>
      <c r="F130" s="327"/>
    </row>
    <row r="131" spans="1:6">
      <c r="A131" s="1258" t="s">
        <v>285</v>
      </c>
      <c r="B131" s="1259">
        <v>5</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94167.61254002295</v>
      </c>
      <c r="C3" s="44" t="s">
        <v>163</v>
      </c>
      <c r="D3" s="44"/>
      <c r="E3" s="157"/>
      <c r="F3" s="44"/>
      <c r="G3" s="44"/>
      <c r="H3" s="44"/>
      <c r="I3" s="44"/>
      <c r="J3" s="44"/>
      <c r="K3" s="97"/>
    </row>
    <row r="4" spans="1:11">
      <c r="A4" s="352" t="s">
        <v>164</v>
      </c>
      <c r="B4" s="50">
        <f>IF(ISERROR('SEAP template'!B78+'SEAP template'!C78),0,'SEAP template'!B78+'SEAP template'!C78)</f>
        <v>11498.580784261685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19.249411764705883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0.19421863777224624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27.499159663865548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6955.7142857142853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3.9534630857888447E-3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1055.3030000000001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1055.3030000000001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0.19421863777224624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204.9595110969648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17147.72</v>
      </c>
      <c r="C5" s="18">
        <f>IF(ISERROR('Eigen informatie GS &amp; warmtenet'!B57),0,'Eigen informatie GS &amp; warmtenet'!B57)</f>
        <v>0</v>
      </c>
      <c r="D5" s="31">
        <f>(SUM(HH_hh_gas_kWh,HH_rest_gas_kWh)/1000)*0.902</f>
        <v>38571.630679999995</v>
      </c>
      <c r="E5" s="18">
        <f>B32*B41</f>
        <v>824.80835682615361</v>
      </c>
      <c r="F5" s="18">
        <f>B36*B45</f>
        <v>25146.012136940401</v>
      </c>
      <c r="G5" s="19"/>
      <c r="H5" s="18"/>
      <c r="I5" s="18"/>
      <c r="J5" s="18">
        <f>B35*B44+C35*C44</f>
        <v>456.26562820161388</v>
      </c>
      <c r="K5" s="18"/>
      <c r="L5" s="18"/>
      <c r="M5" s="18"/>
      <c r="N5" s="18">
        <f>B34*B43+C34*C43</f>
        <v>5546.6376900548858</v>
      </c>
      <c r="O5" s="18">
        <f>B52*B53*B54</f>
        <v>56.280000000000008</v>
      </c>
      <c r="P5" s="18">
        <f>B60*B61*B62/1000-B60*B61*B62/1000/B63</f>
        <v>286</v>
      </c>
    </row>
    <row r="6" spans="1:16">
      <c r="A6" s="17" t="s">
        <v>597</v>
      </c>
      <c r="B6" s="731">
        <f>kWh_PV_kleiner_dan_10kW</f>
        <v>2750.1529492989762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19897.872949298977</v>
      </c>
      <c r="C8" s="22">
        <f>C5</f>
        <v>0</v>
      </c>
      <c r="D8" s="22">
        <f>D5</f>
        <v>38571.630679999995</v>
      </c>
      <c r="E8" s="22">
        <f>E5</f>
        <v>824.80835682615361</v>
      </c>
      <c r="F8" s="22">
        <f>F5</f>
        <v>25146.012136940401</v>
      </c>
      <c r="G8" s="22"/>
      <c r="H8" s="22"/>
      <c r="I8" s="22"/>
      <c r="J8" s="22">
        <f>J5</f>
        <v>456.26562820161388</v>
      </c>
      <c r="K8" s="22"/>
      <c r="L8" s="22">
        <f>L5</f>
        <v>0</v>
      </c>
      <c r="M8" s="22">
        <f>M5</f>
        <v>0</v>
      </c>
      <c r="N8" s="22">
        <f>N5</f>
        <v>5546.6376900548858</v>
      </c>
      <c r="O8" s="22">
        <f>O5</f>
        <v>56.280000000000008</v>
      </c>
      <c r="P8" s="22">
        <f>P5</f>
        <v>286</v>
      </c>
    </row>
    <row r="9" spans="1:16">
      <c r="B9" s="20"/>
      <c r="C9" s="20"/>
      <c r="D9" s="258"/>
      <c r="E9" s="20"/>
      <c r="F9" s="20"/>
      <c r="G9" s="20"/>
      <c r="H9" s="20"/>
      <c r="I9" s="20"/>
      <c r="J9" s="20"/>
      <c r="K9" s="20"/>
      <c r="L9" s="20"/>
      <c r="M9" s="20"/>
      <c r="N9" s="20"/>
      <c r="O9" s="20"/>
      <c r="P9" s="20"/>
    </row>
    <row r="10" spans="1:16">
      <c r="A10" s="25" t="s">
        <v>207</v>
      </c>
      <c r="B10" s="26">
        <f ca="1">'EF ele_warmte'!B12</f>
        <v>0.19421863777224624</v>
      </c>
      <c r="C10" s="26">
        <f ca="1">'EF ele_warmte'!B22</f>
        <v>3.9534630857888447E-3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3864.5377787780749</v>
      </c>
      <c r="C12" s="24">
        <f ca="1">C10*C8</f>
        <v>0</v>
      </c>
      <c r="D12" s="24">
        <f>D8*D10</f>
        <v>7791.4693973599997</v>
      </c>
      <c r="E12" s="24">
        <f>E10*E8</f>
        <v>187.23149699953689</v>
      </c>
      <c r="F12" s="24">
        <f>F10*F8</f>
        <v>6713.9852405630872</v>
      </c>
      <c r="G12" s="24"/>
      <c r="H12" s="24"/>
      <c r="I12" s="24"/>
      <c r="J12" s="24">
        <f>J10*J8</f>
        <v>161.51803238337129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3858</v>
      </c>
      <c r="C26" s="37"/>
      <c r="D26" s="228"/>
    </row>
    <row r="27" spans="1:5" s="16" customFormat="1">
      <c r="A27" s="230" t="s">
        <v>623</v>
      </c>
      <c r="B27" s="38">
        <f>SUM(HH_hh_gas_aantal,HH_rest_gas_aantal)</f>
        <v>2376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2257.1999999999998</v>
      </c>
      <c r="C31" s="35" t="s">
        <v>104</v>
      </c>
      <c r="D31" s="174"/>
    </row>
    <row r="32" spans="1:5">
      <c r="A32" s="171" t="s">
        <v>72</v>
      </c>
      <c r="B32" s="34">
        <f>IF((B21*($B$26-($B$27-0.05*$B$27)-$B$60))&lt;0,0,B21*($B$26-($B$27-0.05*$B$27)-$B$60))</f>
        <v>38.971559215319168</v>
      </c>
      <c r="C32" s="35" t="s">
        <v>104</v>
      </c>
      <c r="D32" s="174"/>
    </row>
    <row r="33" spans="1:6">
      <c r="A33" s="171" t="s">
        <v>73</v>
      </c>
      <c r="B33" s="34">
        <f>IF((B22*($B$26-($B$27-0.05*$B$27)-$B$60))&lt;0,0,B22*($B$26-($B$27-0.05*$B$27)-$B$60))</f>
        <v>262.32430090336294</v>
      </c>
      <c r="C33" s="35" t="s">
        <v>104</v>
      </c>
      <c r="D33" s="174"/>
    </row>
    <row r="34" spans="1:6">
      <c r="A34" s="171" t="s">
        <v>74</v>
      </c>
      <c r="B34" s="34">
        <f>IF((B24*($B$26-($B$27-0.05*$B$27)-$B$60))&lt;0,0,B24*($B$26-($B$27-0.05*$B$27)-$B$60))</f>
        <v>66.530972004344292</v>
      </c>
      <c r="C34" s="34">
        <f>B26*C24</f>
        <v>788.96998014728081</v>
      </c>
      <c r="D34" s="233"/>
    </row>
    <row r="35" spans="1:6">
      <c r="A35" s="171" t="s">
        <v>76</v>
      </c>
      <c r="B35" s="34">
        <f>IF((B19*($B$26-($B$27-0.05*$B$27)-$B$60))&lt;0,0,B19*($B$26-($B$27-0.05*$B$27)-$B$60))</f>
        <v>24.734109958776131</v>
      </c>
      <c r="C35" s="34">
        <f>B35/2</f>
        <v>12.367054979388065</v>
      </c>
      <c r="D35" s="233"/>
    </row>
    <row r="36" spans="1:6">
      <c r="A36" s="171" t="s">
        <v>77</v>
      </c>
      <c r="B36" s="34">
        <f>IF((B18*($B$26-($B$27-0.05*$B$27)-$B$60))&lt;0,0,B18*($B$26-($B$27-0.05*$B$27)-$B$60))</f>
        <v>1193.2390579181972</v>
      </c>
      <c r="C36" s="35" t="s">
        <v>104</v>
      </c>
      <c r="D36" s="174"/>
    </row>
    <row r="37" spans="1:6">
      <c r="A37" s="171" t="s">
        <v>78</v>
      </c>
      <c r="B37" s="34">
        <f>B60</f>
        <v>15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13660.063</v>
      </c>
      <c r="C5" s="18">
        <f>IF(ISERROR('Eigen informatie GS &amp; warmtenet'!B58),0,'Eigen informatie GS &amp; warmtenet'!B58)</f>
        <v>0</v>
      </c>
      <c r="D5" s="31">
        <f>SUM(D6:D12)</f>
        <v>17007.603272</v>
      </c>
      <c r="E5" s="18">
        <f>SUM(E6:E12)</f>
        <v>78.34598667061509</v>
      </c>
      <c r="F5" s="18">
        <f>SUM(F6:F12)</f>
        <v>2963.8144663074495</v>
      </c>
      <c r="G5" s="19"/>
      <c r="H5" s="18"/>
      <c r="I5" s="18"/>
      <c r="J5" s="18">
        <f>SUM(J6:J12)</f>
        <v>0</v>
      </c>
      <c r="K5" s="18"/>
      <c r="L5" s="18"/>
      <c r="M5" s="18"/>
      <c r="N5" s="18">
        <f>SUM(N6:N12)</f>
        <v>1068.7223645836114</v>
      </c>
      <c r="O5" s="18">
        <f>B38*B39*B40</f>
        <v>0</v>
      </c>
      <c r="P5" s="18">
        <f>B46*B47*B48/1000-B46*B47*B48/1000/B49</f>
        <v>95.333333333333343</v>
      </c>
      <c r="R5" s="33"/>
    </row>
    <row r="6" spans="1:18">
      <c r="A6" s="33" t="s">
        <v>53</v>
      </c>
      <c r="B6" s="38">
        <f>B26</f>
        <v>3124.1819999999998</v>
      </c>
      <c r="C6" s="34"/>
      <c r="D6" s="38">
        <f>IF(ISERROR(TER_kantoor_gas_kWh/1000),0,TER_kantoor_gas_kWh/1000)*0.902</f>
        <v>4142.4638640000003</v>
      </c>
      <c r="E6" s="34">
        <f>$C$26*'E Balans VL '!I12/100/3.6*1000000</f>
        <v>5.1034452447351901</v>
      </c>
      <c r="F6" s="34">
        <f>$C$26*('E Balans VL '!L12+'E Balans VL '!N12)/100/3.6*1000000</f>
        <v>367.03524214668198</v>
      </c>
      <c r="G6" s="35"/>
      <c r="H6" s="34"/>
      <c r="I6" s="34"/>
      <c r="J6" s="34">
        <f>$C$26*('E Balans VL '!D12+'E Balans VL '!E12)/100/3.6*1000000</f>
        <v>0</v>
      </c>
      <c r="K6" s="34"/>
      <c r="L6" s="34"/>
      <c r="M6" s="34"/>
      <c r="N6" s="34">
        <f>$C$26*'E Balans VL '!Y12/100/3.6*1000000</f>
        <v>22.748040817169606</v>
      </c>
      <c r="O6" s="34"/>
      <c r="P6" s="34"/>
      <c r="R6" s="33"/>
    </row>
    <row r="7" spans="1:18">
      <c r="A7" s="33" t="s">
        <v>52</v>
      </c>
      <c r="B7" s="38">
        <f t="shared" ref="B7:B12" si="0">B27</f>
        <v>531.67399999999998</v>
      </c>
      <c r="C7" s="34"/>
      <c r="D7" s="38">
        <f>IF(ISERROR(TER_horeca_gas_kWh/1000),0,TER_horeca_gas_kWh/1000)*0.902</f>
        <v>1177.7233600000002</v>
      </c>
      <c r="E7" s="34">
        <f>$C$27*'E Balans VL '!I9/100/3.6*1000000</f>
        <v>27.507189254242284</v>
      </c>
      <c r="F7" s="34">
        <f>$C$27*('E Balans VL '!L9+'E Balans VL '!N9)/100/3.6*1000000</f>
        <v>120.96408211874346</v>
      </c>
      <c r="G7" s="35"/>
      <c r="H7" s="34"/>
      <c r="I7" s="34"/>
      <c r="J7" s="34">
        <f>$C$27*('E Balans VL '!D9+'E Balans VL '!E9)/100/3.6*1000000</f>
        <v>0</v>
      </c>
      <c r="K7" s="34"/>
      <c r="L7" s="34"/>
      <c r="M7" s="34"/>
      <c r="N7" s="34">
        <f>$C$27*'E Balans VL '!Y9/100/3.6*1000000</f>
        <v>5.5975979530114177E-2</v>
      </c>
      <c r="O7" s="34"/>
      <c r="P7" s="34"/>
      <c r="R7" s="33"/>
    </row>
    <row r="8" spans="1:18">
      <c r="A8" s="6" t="s">
        <v>51</v>
      </c>
      <c r="B8" s="38">
        <f t="shared" si="0"/>
        <v>4942.08</v>
      </c>
      <c r="C8" s="34"/>
      <c r="D8" s="38">
        <f>IF(ISERROR(TER_handel_gas_kWh/1000),0,TER_handel_gas_kWh/1000)*0.902</f>
        <v>3024.3031719999999</v>
      </c>
      <c r="E8" s="34">
        <f>$C$28*'E Balans VL '!I13/100/3.6*1000000</f>
        <v>25.959491000430369</v>
      </c>
      <c r="F8" s="34">
        <f>$C$28*('E Balans VL '!L13+'E Balans VL '!N13)/100/3.6*1000000</f>
        <v>931.74759214920982</v>
      </c>
      <c r="G8" s="35"/>
      <c r="H8" s="34"/>
      <c r="I8" s="34"/>
      <c r="J8" s="34">
        <f>$C$28*('E Balans VL '!D13+'E Balans VL '!E13)/100/3.6*1000000</f>
        <v>0</v>
      </c>
      <c r="K8" s="34"/>
      <c r="L8" s="34"/>
      <c r="M8" s="34"/>
      <c r="N8" s="34">
        <f>$C$28*'E Balans VL '!Y13/100/3.6*1000000</f>
        <v>24.500579455031463</v>
      </c>
      <c r="O8" s="34"/>
      <c r="P8" s="34"/>
      <c r="R8" s="33"/>
    </row>
    <row r="9" spans="1:18">
      <c r="A9" s="33" t="s">
        <v>50</v>
      </c>
      <c r="B9" s="38">
        <f t="shared" si="0"/>
        <v>2905.9389999999999</v>
      </c>
      <c r="C9" s="34"/>
      <c r="D9" s="38">
        <f>IF(ISERROR(TER_gezond_gas_kWh/1000),0,TER_gezond_gas_kWh/1000)*0.902</f>
        <v>7091.2010840000003</v>
      </c>
      <c r="E9" s="34">
        <f>$C$29*'E Balans VL '!I10/100/3.6*1000000</f>
        <v>2.5797284332833215</v>
      </c>
      <c r="F9" s="34">
        <f>$C$29*('E Balans VL '!L10+'E Balans VL '!N10)/100/3.6*1000000</f>
        <v>903.21002751562946</v>
      </c>
      <c r="G9" s="35"/>
      <c r="H9" s="34"/>
      <c r="I9" s="34"/>
      <c r="J9" s="34">
        <f>$C$29*('E Balans VL '!D10+'E Balans VL '!E10)/100/3.6*1000000</f>
        <v>0</v>
      </c>
      <c r="K9" s="34"/>
      <c r="L9" s="34"/>
      <c r="M9" s="34"/>
      <c r="N9" s="34">
        <f>$C$29*'E Balans VL '!Y10/100/3.6*1000000</f>
        <v>22.430919622035709</v>
      </c>
      <c r="O9" s="34"/>
      <c r="P9" s="34"/>
      <c r="R9" s="33"/>
    </row>
    <row r="10" spans="1:18">
      <c r="A10" s="33" t="s">
        <v>49</v>
      </c>
      <c r="B10" s="38">
        <f t="shared" si="0"/>
        <v>2102.8330000000001</v>
      </c>
      <c r="C10" s="34"/>
      <c r="D10" s="38">
        <f>IF(ISERROR(TER_ander_gas_kWh/1000),0,TER_ander_gas_kWh/1000)*0.902</f>
        <v>1017.19442</v>
      </c>
      <c r="E10" s="34">
        <f>$C$30*'E Balans VL '!I14/100/3.6*1000000</f>
        <v>17.151620456862442</v>
      </c>
      <c r="F10" s="34">
        <f>$C$30*('E Balans VL '!L14+'E Balans VL '!N14)/100/3.6*1000000</f>
        <v>612.93677803388323</v>
      </c>
      <c r="G10" s="35"/>
      <c r="H10" s="34"/>
      <c r="I10" s="34"/>
      <c r="J10" s="34">
        <f>$C$30*('E Balans VL '!D14+'E Balans VL '!E14)/100/3.6*1000000</f>
        <v>0</v>
      </c>
      <c r="K10" s="34"/>
      <c r="L10" s="34"/>
      <c r="M10" s="34"/>
      <c r="N10" s="34">
        <f>$C$30*'E Balans VL '!Y14/100/3.6*1000000</f>
        <v>998.75193822416566</v>
      </c>
      <c r="O10" s="34"/>
      <c r="P10" s="34"/>
      <c r="R10" s="33"/>
    </row>
    <row r="11" spans="1:18">
      <c r="A11" s="33" t="s">
        <v>54</v>
      </c>
      <c r="B11" s="38">
        <f t="shared" si="0"/>
        <v>53.354999999999997</v>
      </c>
      <c r="C11" s="34"/>
      <c r="D11" s="38">
        <f>IF(ISERROR(TER_onderwijs_gas_kWh/1000),0,TER_onderwijs_gas_kWh/1000)*0.902</f>
        <v>554.71737199999995</v>
      </c>
      <c r="E11" s="34">
        <f>$C$31*'E Balans VL '!I11/100/3.6*1000000</f>
        <v>4.4512281061488634E-2</v>
      </c>
      <c r="F11" s="34">
        <f>$C$31*('E Balans VL '!L11+'E Balans VL '!N11)/100/3.6*1000000</f>
        <v>27.920744343301134</v>
      </c>
      <c r="G11" s="35"/>
      <c r="H11" s="34"/>
      <c r="I11" s="34"/>
      <c r="J11" s="34">
        <f>$C$31*('E Balans VL '!D11+'E Balans VL '!E11)/100/3.6*1000000</f>
        <v>0</v>
      </c>
      <c r="K11" s="34"/>
      <c r="L11" s="34"/>
      <c r="M11" s="34"/>
      <c r="N11" s="34">
        <f>$C$31*'E Balans VL '!Y11/100/3.6*1000000</f>
        <v>0.23491048567864331</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energieproductie'!N39+'lokale energieproductie'!N32</f>
        <v>4869</v>
      </c>
      <c r="C13" s="246">
        <f ca="1">'lokale energieproductie'!O39+'lokale energieproductie'!O32</f>
        <v>6955.7142857142853</v>
      </c>
      <c r="D13" s="305">
        <f ca="1">('lokale energieproductie'!P32+'lokale energieproductie'!P39)*(-1)</f>
        <v>-231.42857142857144</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-13680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18529.063000000002</v>
      </c>
      <c r="C16" s="22">
        <f t="shared" ca="1" si="1"/>
        <v>6955.7142857142853</v>
      </c>
      <c r="D16" s="22">
        <f t="shared" ca="1" si="1"/>
        <v>16776.174700571428</v>
      </c>
      <c r="E16" s="22">
        <f t="shared" si="1"/>
        <v>78.34598667061509</v>
      </c>
      <c r="F16" s="22">
        <f t="shared" ca="1" si="1"/>
        <v>2963.8144663074495</v>
      </c>
      <c r="G16" s="22">
        <f t="shared" si="1"/>
        <v>0</v>
      </c>
      <c r="H16" s="22">
        <f t="shared" si="1"/>
        <v>0</v>
      </c>
      <c r="I16" s="22">
        <f t="shared" si="1"/>
        <v>0</v>
      </c>
      <c r="J16" s="22">
        <f t="shared" si="1"/>
        <v>0</v>
      </c>
      <c r="K16" s="22">
        <f t="shared" si="1"/>
        <v>0</v>
      </c>
      <c r="L16" s="22">
        <f t="shared" ca="1" si="1"/>
        <v>0</v>
      </c>
      <c r="M16" s="22">
        <f t="shared" si="1"/>
        <v>0</v>
      </c>
      <c r="N16" s="22">
        <f t="shared" ca="1" si="1"/>
        <v>0</v>
      </c>
      <c r="O16" s="22">
        <f>O5</f>
        <v>0</v>
      </c>
      <c r="P16" s="22">
        <f>P5</f>
        <v>95.333333333333343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0.19421863777224624</v>
      </c>
      <c r="C18" s="26">
        <f ca="1">'EF ele_warmte'!B22</f>
        <v>3.9534630857888447E-3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3598.6893750561308</v>
      </c>
      <c r="C20" s="24">
        <f t="shared" ref="C20:P20" ca="1" si="2">C16*C18</f>
        <v>27.499159663865548</v>
      </c>
      <c r="D20" s="24">
        <f t="shared" ca="1" si="2"/>
        <v>3388.7872895154287</v>
      </c>
      <c r="E20" s="24">
        <f t="shared" si="2"/>
        <v>17.784538974229626</v>
      </c>
      <c r="F20" s="24">
        <f t="shared" ca="1" si="2"/>
        <v>791.33846250408908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3124.1819999999998</v>
      </c>
      <c r="C26" s="40">
        <f>IF(ISERROR(B26*3.6/1000000/'E Balans VL '!Z12*100),0,B26*3.6/1000000/'E Balans VL '!Z12*100)</f>
        <v>6.6217213544899456E-2</v>
      </c>
      <c r="D26" s="236" t="s">
        <v>660</v>
      </c>
      <c r="F26" s="6"/>
    </row>
    <row r="27" spans="1:18">
      <c r="A27" s="231" t="s">
        <v>52</v>
      </c>
      <c r="B27" s="34">
        <f>IF(ISERROR(TER_horeca_ele_kWh/1000),0,TER_horeca_ele_kWh/1000)</f>
        <v>531.67399999999998</v>
      </c>
      <c r="C27" s="40">
        <f>IF(ISERROR(B27*3.6/1000000/'E Balans VL '!Z9*100),0,B27*3.6/1000000/'E Balans VL '!Z9*100)</f>
        <v>4.1721226978967088E-2</v>
      </c>
      <c r="D27" s="236" t="s">
        <v>660</v>
      </c>
      <c r="F27" s="6"/>
    </row>
    <row r="28" spans="1:18">
      <c r="A28" s="171" t="s">
        <v>51</v>
      </c>
      <c r="B28" s="34">
        <f>IF(ISERROR(TER_handel_ele_kWh/1000),0,TER_handel_ele_kWh/1000)</f>
        <v>4942.08</v>
      </c>
      <c r="C28" s="40">
        <f>IF(ISERROR(B28*3.6/1000000/'E Balans VL '!Z13*100),0,B28*3.6/1000000/'E Balans VL '!Z13*100)</f>
        <v>0.13801472475686305</v>
      </c>
      <c r="D28" s="236" t="s">
        <v>660</v>
      </c>
      <c r="F28" s="6"/>
    </row>
    <row r="29" spans="1:18">
      <c r="A29" s="231" t="s">
        <v>50</v>
      </c>
      <c r="B29" s="34">
        <f>IF(ISERROR(TER_gezond_ele_kWh/1000),0,TER_gezond_ele_kWh/1000)</f>
        <v>2905.9389999999999</v>
      </c>
      <c r="C29" s="40">
        <f>IF(ISERROR(B29*3.6/1000000/'E Balans VL '!Z10*100),0,B29*3.6/1000000/'E Balans VL '!Z10*100)</f>
        <v>0.33301865528815944</v>
      </c>
      <c r="D29" s="236" t="s">
        <v>660</v>
      </c>
      <c r="F29" s="6"/>
    </row>
    <row r="30" spans="1:18">
      <c r="A30" s="231" t="s">
        <v>49</v>
      </c>
      <c r="B30" s="34">
        <f>IF(ISERROR(TER_ander_ele_kWh/1000),0,TER_ander_ele_kWh/1000)</f>
        <v>2102.8330000000001</v>
      </c>
      <c r="C30" s="40">
        <f>IF(ISERROR(B30*3.6/1000000/'E Balans VL '!Z14*100),0,B30*3.6/1000000/'E Balans VL '!Z14*100)</f>
        <v>0.15680203754843053</v>
      </c>
      <c r="D30" s="236" t="s">
        <v>660</v>
      </c>
      <c r="F30" s="6"/>
    </row>
    <row r="31" spans="1:18">
      <c r="A31" s="231" t="s">
        <v>54</v>
      </c>
      <c r="B31" s="34">
        <f>IF(ISERROR(TER_onderwijs_ele_kWh/1000),0,TER_onderwijs_ele_kWh/1000)</f>
        <v>53.354999999999997</v>
      </c>
      <c r="C31" s="40">
        <f>IF(ISERROR(B31*3.6/1000000/'E Balans VL '!Z11*100),0,B31*3.6/1000000/'E Balans VL '!Z11*100)</f>
        <v>1.5248976675017416E-2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5</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50551.834999999999</v>
      </c>
      <c r="C5" s="18">
        <f>IF(ISERROR('Eigen informatie GS &amp; warmtenet'!B59),0,'Eigen informatie GS &amp; warmtenet'!B59)</f>
        <v>0</v>
      </c>
      <c r="D5" s="31">
        <f>SUM(D6:D15)</f>
        <v>29460.006421999999</v>
      </c>
      <c r="E5" s="18">
        <f>SUM(E6:E15)</f>
        <v>495.08693358552074</v>
      </c>
      <c r="F5" s="18">
        <f>SUM(F6:F15)</f>
        <v>22996.782644763502</v>
      </c>
      <c r="G5" s="19"/>
      <c r="H5" s="18"/>
      <c r="I5" s="18"/>
      <c r="J5" s="18">
        <f>SUM(J6:J15)</f>
        <v>349.55347128567462</v>
      </c>
      <c r="K5" s="18"/>
      <c r="L5" s="18"/>
      <c r="M5" s="18"/>
      <c r="N5" s="18">
        <f>SUM(N6:N15)</f>
        <v>3632.9506024874959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21109.89</v>
      </c>
      <c r="C8" s="34"/>
      <c r="D8" s="38">
        <f>IF( ISERROR(IND_metaal_Gas_kWH/1000),0,IND_metaal_Gas_kWH/1000)*0.902</f>
        <v>238.22090600000001</v>
      </c>
      <c r="E8" s="34">
        <f>C30*'E Balans VL '!I18/100/3.6*1000000</f>
        <v>192.24396396702127</v>
      </c>
      <c r="F8" s="34">
        <f>C30*'E Balans VL '!L18/100/3.6*1000000+C30*'E Balans VL '!N18/100/3.6*1000000</f>
        <v>2784.2341797419081</v>
      </c>
      <c r="G8" s="35"/>
      <c r="H8" s="34"/>
      <c r="I8" s="34"/>
      <c r="J8" s="41">
        <f>C30*'E Balans VL '!D18/100/3.6*1000000+C30*'E Balans VL '!E18/100/3.6*1000000</f>
        <v>346.17154554340993</v>
      </c>
      <c r="K8" s="34"/>
      <c r="L8" s="34"/>
      <c r="M8" s="34"/>
      <c r="N8" s="34">
        <f>C30*'E Balans VL '!Y18/100/3.6*1000000</f>
        <v>72.54630604770891</v>
      </c>
      <c r="O8" s="34"/>
      <c r="P8" s="34"/>
      <c r="R8" s="33"/>
    </row>
    <row r="9" spans="1:18">
      <c r="A9" s="6" t="s">
        <v>32</v>
      </c>
      <c r="B9" s="38">
        <f t="shared" si="0"/>
        <v>24359.262999999999</v>
      </c>
      <c r="C9" s="34"/>
      <c r="D9" s="38">
        <f>IF( ISERROR(IND_andere_gas_kWh/1000),0,IND_andere_gas_kWh/1000)*0.902</f>
        <v>1071.184532</v>
      </c>
      <c r="E9" s="34">
        <f>C31*'E Balans VL '!I19/100/3.6*1000000</f>
        <v>140.80018033076436</v>
      </c>
      <c r="F9" s="34">
        <f>C31*'E Balans VL '!L19/100/3.6*1000000+C31*'E Balans VL '!N19/100/3.6*1000000</f>
        <v>19378.965837853015</v>
      </c>
      <c r="G9" s="35"/>
      <c r="H9" s="34"/>
      <c r="I9" s="34"/>
      <c r="J9" s="41">
        <f>C31*'E Balans VL '!D19/100/3.6*1000000+C31*'E Balans VL '!E19/100/3.6*1000000</f>
        <v>2.3041157047703091</v>
      </c>
      <c r="K9" s="34"/>
      <c r="L9" s="34"/>
      <c r="M9" s="34"/>
      <c r="N9" s="34">
        <f>C31*'E Balans VL '!Y19/100/3.6*1000000</f>
        <v>1845.5828084613745</v>
      </c>
      <c r="O9" s="34"/>
      <c r="P9" s="34"/>
      <c r="R9" s="33"/>
    </row>
    <row r="10" spans="1:18">
      <c r="A10" s="6" t="s">
        <v>40</v>
      </c>
      <c r="B10" s="38">
        <f t="shared" si="0"/>
        <v>235.70699999999999</v>
      </c>
      <c r="C10" s="34"/>
      <c r="D10" s="38">
        <f>IF( ISERROR(IND_voed_gas_kWh/1000),0,IND_voed_gas_kWh/1000)*0.902</f>
        <v>322.13667200000003</v>
      </c>
      <c r="E10" s="34">
        <f>C32*'E Balans VL '!I20/100/3.6*1000000</f>
        <v>2.3176164551779359</v>
      </c>
      <c r="F10" s="34">
        <f>C32*'E Balans VL '!L20/100/3.6*1000000+C32*'E Balans VL '!N20/100/3.6*1000000</f>
        <v>26.178338949651604</v>
      </c>
      <c r="G10" s="35"/>
      <c r="H10" s="34"/>
      <c r="I10" s="34"/>
      <c r="J10" s="41">
        <f>C32*'E Balans VL '!D20/100/3.6*1000000+C32*'E Balans VL '!E20/100/3.6*1000000</f>
        <v>9.2902829153929025E-4</v>
      </c>
      <c r="K10" s="34"/>
      <c r="L10" s="34"/>
      <c r="M10" s="34"/>
      <c r="N10" s="34">
        <f>C32*'E Balans VL '!Y20/100/3.6*1000000</f>
        <v>3.4902662286936019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4632.8310000000001</v>
      </c>
      <c r="C13" s="34"/>
      <c r="D13" s="38">
        <f>IF( ISERROR(IND_papier_gas_kWh/1000),0,IND_papier_gas_kWh/1000)*0.902</f>
        <v>12329.017668</v>
      </c>
      <c r="E13" s="34">
        <f>C35*'E Balans VL '!I23/100/3.6*1000000</f>
        <v>157.80094103066813</v>
      </c>
      <c r="F13" s="34">
        <f>C35*'E Balans VL '!L23/100/3.6*1000000+C35*'E Balans VL '!N23/100/3.6*1000000</f>
        <v>765.23495099690967</v>
      </c>
      <c r="G13" s="35"/>
      <c r="H13" s="34"/>
      <c r="I13" s="34"/>
      <c r="J13" s="41">
        <f>C35*'E Balans VL '!D23/100/3.6*1000000+C35*'E Balans VL '!E23/100/3.6*1000000</f>
        <v>0</v>
      </c>
      <c r="K13" s="34"/>
      <c r="L13" s="34"/>
      <c r="M13" s="34"/>
      <c r="N13" s="34">
        <f>C35*'E Balans VL '!Y23/100/3.6*1000000</f>
        <v>1704.7575651038958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214.14400000000001</v>
      </c>
      <c r="C15" s="34"/>
      <c r="D15" s="38">
        <f>IF( ISERROR(IND_rest_gas_kWh/1000),0,IND_rest_gas_kWh/1000)*0.902</f>
        <v>15499.446644</v>
      </c>
      <c r="E15" s="34">
        <f>C37*'E Balans VL '!I15/100/3.6*1000000</f>
        <v>1.9242318018890507</v>
      </c>
      <c r="F15" s="34">
        <f>C37*'E Balans VL '!L15/100/3.6*1000000+C37*'E Balans VL '!N15/100/3.6*1000000</f>
        <v>42.169337222018775</v>
      </c>
      <c r="G15" s="35"/>
      <c r="H15" s="34"/>
      <c r="I15" s="34"/>
      <c r="J15" s="41">
        <f>C37*'E Balans VL '!D15/100/3.6*1000000+C37*'E Balans VL '!E15/100/3.6*1000000</f>
        <v>1.0768810092028598</v>
      </c>
      <c r="K15" s="34"/>
      <c r="L15" s="34"/>
      <c r="M15" s="34"/>
      <c r="N15" s="34">
        <f>C37*'E Balans VL '!Y15/100/3.6*1000000</f>
        <v>6.5736566458231032</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50551.834999999999</v>
      </c>
      <c r="C18" s="22">
        <f>C5+C16</f>
        <v>0</v>
      </c>
      <c r="D18" s="22">
        <f>MAX((D5+D16),0)</f>
        <v>29460.006421999999</v>
      </c>
      <c r="E18" s="22">
        <f>MAX((E5+E16),0)</f>
        <v>495.08693358552074</v>
      </c>
      <c r="F18" s="22">
        <f>MAX((F5+F16),0)</f>
        <v>22996.782644763502</v>
      </c>
      <c r="G18" s="22"/>
      <c r="H18" s="22"/>
      <c r="I18" s="22"/>
      <c r="J18" s="22">
        <f>MAX((J5+J16),0)</f>
        <v>349.55347128567462</v>
      </c>
      <c r="K18" s="22"/>
      <c r="L18" s="22">
        <f>MAX((L5+L16),0)</f>
        <v>0</v>
      </c>
      <c r="M18" s="22"/>
      <c r="N18" s="22">
        <f>MAX((N5+N16),0)</f>
        <v>3632.9506024874959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0.19421863777224624</v>
      </c>
      <c r="C20" s="26">
        <f ca="1">'EF ele_warmte'!B22</f>
        <v>3.9534630857888447E-3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9818.1085305873585</v>
      </c>
      <c r="C22" s="24">
        <f ca="1">C18*C20</f>
        <v>0</v>
      </c>
      <c r="D22" s="24">
        <f>D18*D20</f>
        <v>5950.921297244</v>
      </c>
      <c r="E22" s="24">
        <f>E18*E20</f>
        <v>112.38473392391322</v>
      </c>
      <c r="F22" s="24">
        <f>F18*F20</f>
        <v>6140.1409661518555</v>
      </c>
      <c r="G22" s="24"/>
      <c r="H22" s="24"/>
      <c r="I22" s="24"/>
      <c r="J22" s="24">
        <f>J18*J20</f>
        <v>123.7419288351288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21109.89</v>
      </c>
      <c r="C30" s="40">
        <f>IF(ISERROR(B30*3.6/1000000/'E Balans VL '!Z18*100),0,B30*3.6/1000000/'E Balans VL '!Z18*100)</f>
        <v>1.1746242178766915</v>
      </c>
      <c r="D30" s="236" t="s">
        <v>660</v>
      </c>
    </row>
    <row r="31" spans="1:18">
      <c r="A31" s="6" t="s">
        <v>32</v>
      </c>
      <c r="B31" s="38">
        <f>IF( ISERROR(IND_ander_ele_kWh/1000),0,IND_ander_ele_kWh/1000)</f>
        <v>24359.262999999999</v>
      </c>
      <c r="C31" s="40">
        <f>IF(ISERROR(B31*3.6/1000000/'E Balans VL '!Z19*100),0,B31*3.6/1000000/'E Balans VL '!Z19*100)</f>
        <v>1.1323981620714145</v>
      </c>
      <c r="D31" s="236" t="s">
        <v>660</v>
      </c>
    </row>
    <row r="32" spans="1:18">
      <c r="A32" s="171" t="s">
        <v>40</v>
      </c>
      <c r="B32" s="38">
        <f>IF( ISERROR(IND_voed_ele_kWh/1000),0,IND_voed_ele_kWh/1000)</f>
        <v>235.70699999999999</v>
      </c>
      <c r="C32" s="40">
        <f>IF(ISERROR(B32*3.6/1000000/'E Balans VL '!Z20*100),0,B32*3.6/1000000/'E Balans VL '!Z20*100)</f>
        <v>8.3317664195534016E-3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4632.8310000000001</v>
      </c>
      <c r="C35" s="40">
        <f>IF(ISERROR(B35*3.6/1000000/'E Balans VL '!Z22*100),0,B35*3.6/1000000/'E Balans VL '!Z22*100)</f>
        <v>0.93106838957940308</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214.14400000000001</v>
      </c>
      <c r="C37" s="40">
        <f>IF(ISERROR(B37*3.6/1000000/'E Balans VL '!Z15*100),0,B37*3.6/1000000/'E Balans VL '!Z15*100)</f>
        <v>1.6171035385231195E-3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3753.116</v>
      </c>
      <c r="C5" s="18">
        <f>'Eigen informatie GS &amp; warmtenet'!B60</f>
        <v>0</v>
      </c>
      <c r="D5" s="31">
        <f>IF(ISERROR(SUM(LB_lb_gas_kWh,LB_rest_gas_kWh)/1000),0,SUM(LB_lb_gas_kWh,LB_rest_gas_kWh)/1000)*0.902</f>
        <v>3472.3094340000002</v>
      </c>
      <c r="E5" s="18">
        <f>B17*'E Balans VL '!I25/3.6*1000000/100</f>
        <v>37.062703598661784</v>
      </c>
      <c r="F5" s="18">
        <f>B17*('E Balans VL '!L25/3.6*1000000+'E Balans VL '!N25/3.6*1000000)/100</f>
        <v>12521.388042871242</v>
      </c>
      <c r="G5" s="19"/>
      <c r="H5" s="18"/>
      <c r="I5" s="18"/>
      <c r="J5" s="18">
        <f>('E Balans VL '!D25+'E Balans VL '!E25)/3.6*1000000*landbouw!B17/100</f>
        <v>374.44706164698596</v>
      </c>
      <c r="K5" s="18"/>
      <c r="L5" s="18">
        <f>L6*(-1)</f>
        <v>0</v>
      </c>
      <c r="M5" s="18"/>
      <c r="N5" s="18">
        <f>N6*(-1)</f>
        <v>0</v>
      </c>
      <c r="O5" s="18"/>
      <c r="P5" s="18"/>
      <c r="R5" s="33"/>
    </row>
    <row r="6" spans="1:18">
      <c r="A6" s="17" t="s">
        <v>488</v>
      </c>
      <c r="B6" s="18" t="s">
        <v>204</v>
      </c>
      <c r="C6" s="18">
        <f>'lokale energieproductie'!O40+'lokale energieproductie'!O33</f>
        <v>0</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3753.116</v>
      </c>
      <c r="C8" s="22">
        <f>C5+C6</f>
        <v>0</v>
      </c>
      <c r="D8" s="22">
        <f>MAX((D5+D6),0)</f>
        <v>3472.3094340000002</v>
      </c>
      <c r="E8" s="22">
        <f>MAX((E5+E6),0)</f>
        <v>37.062703598661784</v>
      </c>
      <c r="F8" s="22">
        <f>MAX((F5+F6),0)</f>
        <v>12521.388042871242</v>
      </c>
      <c r="G8" s="22"/>
      <c r="H8" s="22"/>
      <c r="I8" s="22"/>
      <c r="J8" s="22">
        <f>MAX((J5+J6),0)</f>
        <v>374.44706164698596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0.19421863777224624</v>
      </c>
      <c r="C10" s="32">
        <f ca="1">'EF ele_warmte'!B22</f>
        <v>3.9534630857888447E-3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728.92507692122172</v>
      </c>
      <c r="C12" s="24">
        <f ca="1">C8*C10</f>
        <v>0</v>
      </c>
      <c r="D12" s="24">
        <f>D8*D10</f>
        <v>701.40650566800014</v>
      </c>
      <c r="E12" s="24">
        <f>E8*E10</f>
        <v>8.4132337168962259</v>
      </c>
      <c r="F12" s="24">
        <f>F8*F10</f>
        <v>3343.2106074466219</v>
      </c>
      <c r="G12" s="24"/>
      <c r="H12" s="24"/>
      <c r="I12" s="24"/>
      <c r="J12" s="24">
        <f>J8*J10</f>
        <v>132.55425982303302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0.50811193352347106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363.38050921770218</v>
      </c>
      <c r="C26" s="246">
        <f>B26*'GWP N2O_CH4'!B5</f>
        <v>7630.9906935717463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438.28554297204533</v>
      </c>
      <c r="C27" s="246">
        <f>B27*'GWP N2O_CH4'!B5</f>
        <v>9203.9964024129513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6.4088193739080728</v>
      </c>
      <c r="C28" s="246">
        <f>B28*'GWP N2O_CH4'!B4</f>
        <v>1986.7340059115027</v>
      </c>
      <c r="D28" s="51"/>
    </row>
    <row r="29" spans="1:4">
      <c r="A29" s="42" t="s">
        <v>266</v>
      </c>
      <c r="B29" s="246">
        <f>B34*'ha_N2O bodem landbouw'!B4</f>
        <v>14.604686133763956</v>
      </c>
      <c r="C29" s="246">
        <f>B29*'GWP N2O_CH4'!B4</f>
        <v>4527.4527014668265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3.9428054966996872E-3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1.0343550450212284E-5</v>
      </c>
      <c r="C5" s="433" t="s">
        <v>204</v>
      </c>
      <c r="D5" s="418">
        <f>SUM(D6:D11)</f>
        <v>1.3567131724563322E-5</v>
      </c>
      <c r="E5" s="418">
        <f>SUM(E6:E11)</f>
        <v>8.5771962118215222E-4</v>
      </c>
      <c r="F5" s="431" t="s">
        <v>204</v>
      </c>
      <c r="G5" s="418">
        <f>SUM(G6:G11)</f>
        <v>0.23391302680849024</v>
      </c>
      <c r="H5" s="418">
        <f>SUM(H6:H11)</f>
        <v>3.4299234986822955E-2</v>
      </c>
      <c r="I5" s="433" t="s">
        <v>204</v>
      </c>
      <c r="J5" s="433" t="s">
        <v>204</v>
      </c>
      <c r="K5" s="433" t="s">
        <v>204</v>
      </c>
      <c r="L5" s="433" t="s">
        <v>204</v>
      </c>
      <c r="M5" s="418">
        <f>SUM(M6:M11)</f>
        <v>1.1979200731572747E-2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6.7426912012920176E-6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7.8202951556796582E-6</v>
      </c>
      <c r="E6" s="421">
        <f>vkm_GW_PW*SUMIFS(TableVerdeelsleutelVkm[LPG],TableVerdeelsleutelVkm[Voertuigtype],"Lichte voertuigen")*SUMIFS(TableECFTransport[EnergieConsumptieFactor (PJ per km)],TableECFTransport[Index],CONCATENATE($A6,"_LPG_LPG"))</f>
        <v>5.0617896528185947E-4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7.9810120710129301E-2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2.0181050205521127E-2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4.4756114944068037E-3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3.6896187144278261E-7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6.10340145506474E-2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1.9021230857629293E-6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2.7158266528137017E-3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3.0402223730755895E-6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5.746836568883664E-6</v>
      </c>
      <c r="E8" s="421">
        <f>vkm_NGW_PW*SUMIFS(TableVerdeelsleutelVkm[LPG],TableVerdeelsleutelVkm[Voertuigtype],"Lichte voertuigen")*SUMIFS(TableECFTransport[EnergieConsumptieFactor (PJ per km)],TableECFTransport[Index],CONCATENATE($A8,"_LPG_LPG"))</f>
        <v>3.515406559002927E-4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5.2409492525334916E-2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1.4115089936693161E-2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2.9785473084831724E-3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1.9167500440189441E-7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4.0659399022378626E-2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1.1927215229113174E-6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1.8092152758690707E-3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2.873208458392301</v>
      </c>
      <c r="C14" s="22"/>
      <c r="D14" s="22">
        <f t="shared" ref="D14:M14" si="0">((D5)*10^9/3600)+D12</f>
        <v>3.7686477012675894</v>
      </c>
      <c r="E14" s="22">
        <f t="shared" si="0"/>
        <v>238.25545032837562</v>
      </c>
      <c r="F14" s="22"/>
      <c r="G14" s="22">
        <f t="shared" si="0"/>
        <v>64975.840780136183</v>
      </c>
      <c r="H14" s="22">
        <f t="shared" si="0"/>
        <v>9527.5652741174872</v>
      </c>
      <c r="I14" s="22"/>
      <c r="J14" s="22"/>
      <c r="K14" s="22"/>
      <c r="L14" s="22"/>
      <c r="M14" s="22">
        <f t="shared" si="0"/>
        <v>3327.5557587702074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0.19421863777224624</v>
      </c>
      <c r="C16" s="57">
        <f ca="1">'EF ele_warmte'!B22</f>
        <v>3.9534630857888447E-3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0.55803063282464838</v>
      </c>
      <c r="C18" s="24"/>
      <c r="D18" s="24">
        <f t="shared" ref="D18:M18" si="1">D14*D16</f>
        <v>0.76126683565605313</v>
      </c>
      <c r="E18" s="24">
        <f t="shared" si="1"/>
        <v>54.083987224541268</v>
      </c>
      <c r="F18" s="24"/>
      <c r="G18" s="24">
        <f t="shared" si="1"/>
        <v>17348.549488296361</v>
      </c>
      <c r="H18" s="24">
        <f t="shared" si="1"/>
        <v>2372.3637532552543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1.008857615615497E-5</v>
      </c>
      <c r="C50" s="316">
        <f t="shared" ref="C50:P50" si="2">SUM(C51:C52)</f>
        <v>0</v>
      </c>
      <c r="D50" s="316">
        <f t="shared" si="2"/>
        <v>0</v>
      </c>
      <c r="E50" s="316">
        <f t="shared" si="2"/>
        <v>0</v>
      </c>
      <c r="F50" s="316">
        <f t="shared" si="2"/>
        <v>0</v>
      </c>
      <c r="G50" s="316">
        <f t="shared" si="2"/>
        <v>2.0121864603656909E-3</v>
      </c>
      <c r="H50" s="316">
        <f t="shared" si="2"/>
        <v>0</v>
      </c>
      <c r="I50" s="316">
        <f t="shared" si="2"/>
        <v>0</v>
      </c>
      <c r="J50" s="316">
        <f t="shared" si="2"/>
        <v>0</v>
      </c>
      <c r="K50" s="316">
        <f t="shared" si="2"/>
        <v>0</v>
      </c>
      <c r="L50" s="316">
        <f t="shared" si="2"/>
        <v>0</v>
      </c>
      <c r="M50" s="316">
        <f t="shared" si="2"/>
        <v>8.8936498483209114E-5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1.008857615615497E-5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2.0121864603656909E-3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8.8936498483209114E-5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2.8023822655986028</v>
      </c>
      <c r="C54" s="22">
        <f t="shared" ref="C54:P54" si="3">(C50)*10^9/3600</f>
        <v>0</v>
      </c>
      <c r="D54" s="22">
        <f t="shared" si="3"/>
        <v>0</v>
      </c>
      <c r="E54" s="22">
        <f t="shared" si="3"/>
        <v>0</v>
      </c>
      <c r="F54" s="22">
        <f t="shared" si="3"/>
        <v>0</v>
      </c>
      <c r="G54" s="22">
        <f t="shared" si="3"/>
        <v>558.94068343491415</v>
      </c>
      <c r="H54" s="22">
        <f t="shared" si="3"/>
        <v>0</v>
      </c>
      <c r="I54" s="22">
        <f t="shared" si="3"/>
        <v>0</v>
      </c>
      <c r="J54" s="22">
        <f t="shared" si="3"/>
        <v>0</v>
      </c>
      <c r="K54" s="22">
        <f t="shared" si="3"/>
        <v>0</v>
      </c>
      <c r="L54" s="22">
        <f t="shared" si="3"/>
        <v>0</v>
      </c>
      <c r="M54" s="22">
        <f t="shared" si="3"/>
        <v>24.704582912002532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0.19421863777224624</v>
      </c>
      <c r="C56" s="57">
        <f ca="1">'EF ele_warmte'!B22</f>
        <v>3.9534630857888447E-3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0.54427486614166176</v>
      </c>
      <c r="C58" s="24">
        <f t="shared" ref="C58:P58" ca="1" si="4">C54*C56</f>
        <v>0</v>
      </c>
      <c r="D58" s="24">
        <f t="shared" si="4"/>
        <v>0</v>
      </c>
      <c r="E58" s="24">
        <f t="shared" si="4"/>
        <v>0</v>
      </c>
      <c r="F58" s="24">
        <f t="shared" si="4"/>
        <v>0</v>
      </c>
      <c r="G58" s="24">
        <f t="shared" si="4"/>
        <v>149.2371624771221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6629.5807842616841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4869</v>
      </c>
      <c r="C8" s="544">
        <f>B49</f>
        <v>95.294117647058826</v>
      </c>
      <c r="D8" s="931"/>
      <c r="E8" s="931">
        <f>E49</f>
        <v>0</v>
      </c>
      <c r="F8" s="932"/>
      <c r="G8" s="545"/>
      <c r="H8" s="931">
        <f>I49</f>
        <v>0</v>
      </c>
      <c r="I8" s="931">
        <f>G49+F49</f>
        <v>0</v>
      </c>
      <c r="J8" s="931">
        <f>H49+D49+C49</f>
        <v>5632.9411764705883</v>
      </c>
      <c r="K8" s="931"/>
      <c r="L8" s="931"/>
      <c r="M8" s="931"/>
      <c r="N8" s="546"/>
      <c r="O8" s="547">
        <f>C8*$C$12+D8*$D$12+E8*$E$12+F8*$F$12+G8*$G$12+H8*$H$12+I8*$I$12+J8*$J$12</f>
        <v>19.249411764705883</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11498.580784261685</v>
      </c>
      <c r="C10" s="556">
        <f t="shared" ref="C10:L10" si="0">SUM(C8:C9)</f>
        <v>95.294117647058826</v>
      </c>
      <c r="D10" s="556">
        <f t="shared" si="0"/>
        <v>0</v>
      </c>
      <c r="E10" s="556">
        <f t="shared" si="0"/>
        <v>0</v>
      </c>
      <c r="F10" s="556">
        <f t="shared" si="0"/>
        <v>0</v>
      </c>
      <c r="G10" s="556">
        <f t="shared" si="0"/>
        <v>0</v>
      </c>
      <c r="H10" s="556">
        <f t="shared" si="0"/>
        <v>0</v>
      </c>
      <c r="I10" s="556">
        <f t="shared" si="0"/>
        <v>0</v>
      </c>
      <c r="J10" s="556">
        <f t="shared" si="0"/>
        <v>5632.9411764705883</v>
      </c>
      <c r="K10" s="556">
        <f t="shared" si="0"/>
        <v>0</v>
      </c>
      <c r="L10" s="556">
        <f t="shared" si="0"/>
        <v>0</v>
      </c>
      <c r="M10" s="935"/>
      <c r="N10" s="935"/>
      <c r="O10" s="557">
        <f>SUM(O4:O9)</f>
        <v>19.249411764705883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6955.7142857142853</v>
      </c>
      <c r="C17" s="568">
        <f>B50</f>
        <v>136.1344537815126</v>
      </c>
      <c r="D17" s="569"/>
      <c r="E17" s="569">
        <f>E50</f>
        <v>0</v>
      </c>
      <c r="F17" s="570"/>
      <c r="G17" s="571"/>
      <c r="H17" s="568">
        <f>I50</f>
        <v>0</v>
      </c>
      <c r="I17" s="569">
        <f>G50+F50</f>
        <v>0</v>
      </c>
      <c r="J17" s="569">
        <f>H50+D50+C50</f>
        <v>8047.0588235294108</v>
      </c>
      <c r="K17" s="569"/>
      <c r="L17" s="569"/>
      <c r="M17" s="569"/>
      <c r="N17" s="938"/>
      <c r="O17" s="572">
        <f>C17*$C$22+E17*$E$22+H17*$H$22+I17*$I$22+J17*$J$22+D17*$D$22+F17*$F$22+G17*$G$22+K17*$K$22+L17*$L$22</f>
        <v>27.499159663865548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6955.7142857142853</v>
      </c>
      <c r="C20" s="555">
        <f>SUM(C17:C19)</f>
        <v>136.1344537815126</v>
      </c>
      <c r="D20" s="555">
        <f t="shared" ref="D20:L20" si="1">SUM(D17:D19)</f>
        <v>0</v>
      </c>
      <c r="E20" s="555">
        <f t="shared" si="1"/>
        <v>0</v>
      </c>
      <c r="F20" s="555">
        <f t="shared" si="1"/>
        <v>0</v>
      </c>
      <c r="G20" s="555">
        <f t="shared" si="1"/>
        <v>0</v>
      </c>
      <c r="H20" s="555">
        <f t="shared" si="1"/>
        <v>0</v>
      </c>
      <c r="I20" s="555">
        <f t="shared" si="1"/>
        <v>0</v>
      </c>
      <c r="J20" s="555">
        <f t="shared" si="1"/>
        <v>8047.0588235294108</v>
      </c>
      <c r="K20" s="555">
        <f t="shared" si="1"/>
        <v>0</v>
      </c>
      <c r="L20" s="555">
        <f t="shared" si="1"/>
        <v>0</v>
      </c>
      <c r="M20" s="555"/>
      <c r="N20" s="555"/>
      <c r="O20" s="576">
        <f>SUM(O17:O19)</f>
        <v>27.499159663865548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36006</v>
      </c>
      <c r="C28" s="740">
        <v>8830</v>
      </c>
      <c r="D28" s="628"/>
      <c r="E28" s="627"/>
      <c r="F28" s="627"/>
      <c r="G28" s="627" t="s">
        <v>942</v>
      </c>
      <c r="H28" s="627" t="s">
        <v>943</v>
      </c>
      <c r="I28" s="627"/>
      <c r="J28" s="739"/>
      <c r="K28" s="739"/>
      <c r="L28" s="627" t="s">
        <v>944</v>
      </c>
      <c r="M28" s="627">
        <v>18</v>
      </c>
      <c r="N28" s="627">
        <v>81</v>
      </c>
      <c r="O28" s="627">
        <v>115.71428571428572</v>
      </c>
      <c r="P28" s="627">
        <v>231.42857142857144</v>
      </c>
      <c r="Q28" s="627">
        <v>0</v>
      </c>
      <c r="R28" s="627">
        <v>0</v>
      </c>
      <c r="S28" s="627">
        <v>0</v>
      </c>
      <c r="T28" s="627">
        <v>0</v>
      </c>
      <c r="U28" s="627">
        <v>0</v>
      </c>
      <c r="V28" s="627">
        <v>0</v>
      </c>
      <c r="W28" s="627"/>
      <c r="X28" s="627"/>
      <c r="Y28" s="627">
        <v>1600</v>
      </c>
      <c r="Z28" s="627" t="s">
        <v>49</v>
      </c>
      <c r="AA28" s="629" t="s">
        <v>149</v>
      </c>
    </row>
    <row r="29" spans="1:27" s="581" customFormat="1" ht="63.75" hidden="1">
      <c r="A29" s="580"/>
      <c r="B29" s="740">
        <v>36006</v>
      </c>
      <c r="C29" s="740">
        <v>8830</v>
      </c>
      <c r="D29" s="628"/>
      <c r="E29" s="627"/>
      <c r="F29" s="627"/>
      <c r="G29" s="627" t="s">
        <v>942</v>
      </c>
      <c r="H29" s="627" t="s">
        <v>943</v>
      </c>
      <c r="I29" s="627"/>
      <c r="J29" s="739"/>
      <c r="K29" s="739"/>
      <c r="L29" s="627" t="s">
        <v>944</v>
      </c>
      <c r="M29" s="627">
        <v>1064</v>
      </c>
      <c r="N29" s="627">
        <v>4788</v>
      </c>
      <c r="O29" s="627">
        <v>6840</v>
      </c>
      <c r="P29" s="627">
        <v>0</v>
      </c>
      <c r="Q29" s="627">
        <v>13680</v>
      </c>
      <c r="R29" s="627">
        <v>0</v>
      </c>
      <c r="S29" s="627">
        <v>0</v>
      </c>
      <c r="T29" s="627">
        <v>0</v>
      </c>
      <c r="U29" s="627">
        <v>0</v>
      </c>
      <c r="V29" s="627">
        <v>0</v>
      </c>
      <c r="W29" s="627"/>
      <c r="X29" s="627"/>
      <c r="Y29" s="627">
        <v>1600</v>
      </c>
      <c r="Z29" s="627" t="s">
        <v>49</v>
      </c>
      <c r="AA29" s="629" t="s">
        <v>149</v>
      </c>
    </row>
    <row r="30" spans="1:27" s="563" customFormat="1" hidden="1">
      <c r="A30" s="583" t="s">
        <v>269</v>
      </c>
      <c r="B30" s="584"/>
      <c r="C30" s="584"/>
      <c r="D30" s="584"/>
      <c r="E30" s="584"/>
      <c r="F30" s="584"/>
      <c r="G30" s="584"/>
      <c r="H30" s="584"/>
      <c r="I30" s="584"/>
      <c r="J30" s="584"/>
      <c r="K30" s="584"/>
      <c r="L30" s="585"/>
      <c r="M30" s="585">
        <f>SUM(M28:M29)</f>
        <v>1082</v>
      </c>
      <c r="N30" s="585">
        <f>SUM(N28:N29)</f>
        <v>4869</v>
      </c>
      <c r="O30" s="585">
        <f>SUM(O28:O29)</f>
        <v>6955.7142857142853</v>
      </c>
      <c r="P30" s="585">
        <f>SUM(P28:P29)</f>
        <v>231.42857142857144</v>
      </c>
      <c r="Q30" s="585">
        <f>SUM(Q28:Q29)</f>
        <v>13680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1082</v>
      </c>
      <c r="N32" s="585">
        <f ca="1">SUMIF($AA$28:AE29,"tertiair",N28:N29)</f>
        <v>4869</v>
      </c>
      <c r="O32" s="585">
        <f ca="1">SUMIF($AA$28:AF29,"tertiair",O28:O29)</f>
        <v>6955.7142857142853</v>
      </c>
      <c r="P32" s="585">
        <f ca="1">SUMIF($AA$28:AG29,"tertiair",P28:P29)</f>
        <v>231.42857142857144</v>
      </c>
      <c r="Q32" s="585">
        <f ca="1">SUMIF($AA$28:AH29,"tertiair",Q28:Q29)</f>
        <v>13680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0</v>
      </c>
      <c r="N33" s="590">
        <f>SUMIF($AA$28:$AA$29,"landbouw",N28:N29)</f>
        <v>0</v>
      </c>
      <c r="O33" s="590">
        <f>SUMIF($AA$28:$AA$29,"landbouw",O28:O29)</f>
        <v>0</v>
      </c>
      <c r="P33" s="590">
        <f>SUMIF($AA$28:$AA$29,"landbouw",P28:P29)</f>
        <v>0</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0.58823529411764697</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95.294117647058826</v>
      </c>
      <c r="C49" s="619">
        <f t="shared" si="2"/>
        <v>5632.9411764705883</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136.1344537815126</v>
      </c>
      <c r="C50" s="622">
        <f t="shared" si="3"/>
        <v>8047.0588235294108</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19584.366000000002</v>
      </c>
      <c r="D10" s="639">
        <f ca="1">tertiair!C16</f>
        <v>6955.7142857142853</v>
      </c>
      <c r="E10" s="639">
        <f ca="1">tertiair!D16</f>
        <v>16776.174700571428</v>
      </c>
      <c r="F10" s="639">
        <f>tertiair!E16</f>
        <v>78.34598667061509</v>
      </c>
      <c r="G10" s="639">
        <f ca="1">tertiair!F16</f>
        <v>2963.8144663074495</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0</v>
      </c>
      <c r="Q10" s="640">
        <f>tertiair!P16</f>
        <v>95.333333333333343</v>
      </c>
      <c r="R10" s="642">
        <f ca="1">SUM(C10:Q10)</f>
        <v>46453.748772597115</v>
      </c>
      <c r="S10" s="68"/>
    </row>
    <row r="11" spans="1:19" s="443" customFormat="1">
      <c r="A11" s="753" t="s">
        <v>214</v>
      </c>
      <c r="B11" s="758"/>
      <c r="C11" s="639">
        <f>huishoudens!B8</f>
        <v>19897.872949298977</v>
      </c>
      <c r="D11" s="639">
        <f>huishoudens!C8</f>
        <v>0</v>
      </c>
      <c r="E11" s="639">
        <f>huishoudens!D8</f>
        <v>38571.630679999995</v>
      </c>
      <c r="F11" s="639">
        <f>huishoudens!E8</f>
        <v>824.80835682615361</v>
      </c>
      <c r="G11" s="639">
        <f>huishoudens!F8</f>
        <v>25146.012136940401</v>
      </c>
      <c r="H11" s="639">
        <f>huishoudens!G8</f>
        <v>0</v>
      </c>
      <c r="I11" s="639">
        <f>huishoudens!H8</f>
        <v>0</v>
      </c>
      <c r="J11" s="639">
        <f>huishoudens!I8</f>
        <v>0</v>
      </c>
      <c r="K11" s="639">
        <f>huishoudens!J8</f>
        <v>456.26562820161388</v>
      </c>
      <c r="L11" s="639">
        <f>huishoudens!K8</f>
        <v>0</v>
      </c>
      <c r="M11" s="639">
        <f>huishoudens!L8</f>
        <v>0</v>
      </c>
      <c r="N11" s="639">
        <f>huishoudens!M8</f>
        <v>0</v>
      </c>
      <c r="O11" s="639">
        <f>huishoudens!N8</f>
        <v>5546.6376900548858</v>
      </c>
      <c r="P11" s="639">
        <f>huishoudens!O8</f>
        <v>56.280000000000008</v>
      </c>
      <c r="Q11" s="640">
        <f>huishoudens!P8</f>
        <v>286</v>
      </c>
      <c r="R11" s="642">
        <f>SUM(C11:Q11)</f>
        <v>90785.507441321999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50551.834999999999</v>
      </c>
      <c r="D13" s="639">
        <f>industrie!C18</f>
        <v>0</v>
      </c>
      <c r="E13" s="639">
        <f>industrie!D18</f>
        <v>29460.006421999999</v>
      </c>
      <c r="F13" s="639">
        <f>industrie!E18</f>
        <v>495.08693358552074</v>
      </c>
      <c r="G13" s="639">
        <f>industrie!F18</f>
        <v>22996.782644763502</v>
      </c>
      <c r="H13" s="639">
        <f>industrie!G18</f>
        <v>0</v>
      </c>
      <c r="I13" s="639">
        <f>industrie!H18</f>
        <v>0</v>
      </c>
      <c r="J13" s="639">
        <f>industrie!I18</f>
        <v>0</v>
      </c>
      <c r="K13" s="639">
        <f>industrie!J18</f>
        <v>349.55347128567462</v>
      </c>
      <c r="L13" s="639">
        <f>industrie!K18</f>
        <v>0</v>
      </c>
      <c r="M13" s="639">
        <f>industrie!L18</f>
        <v>0</v>
      </c>
      <c r="N13" s="639">
        <f>industrie!M18</f>
        <v>0</v>
      </c>
      <c r="O13" s="639">
        <f>industrie!N18</f>
        <v>3632.9506024874959</v>
      </c>
      <c r="P13" s="639">
        <f>industrie!O18</f>
        <v>0</v>
      </c>
      <c r="Q13" s="640">
        <f>industrie!P18</f>
        <v>0</v>
      </c>
      <c r="R13" s="642">
        <f>SUM(C13:Q13)</f>
        <v>107486.2150741222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90034.073949298967</v>
      </c>
      <c r="D16" s="672">
        <f t="shared" ref="D16:R16" ca="1" si="0">SUM(D9:D15)</f>
        <v>6955.7142857142853</v>
      </c>
      <c r="E16" s="672">
        <f t="shared" ca="1" si="0"/>
        <v>84807.811802571421</v>
      </c>
      <c r="F16" s="672">
        <f t="shared" si="0"/>
        <v>1398.2412770822893</v>
      </c>
      <c r="G16" s="672">
        <f t="shared" ca="1" si="0"/>
        <v>51106.609248011351</v>
      </c>
      <c r="H16" s="672">
        <f t="shared" si="0"/>
        <v>0</v>
      </c>
      <c r="I16" s="672">
        <f t="shared" si="0"/>
        <v>0</v>
      </c>
      <c r="J16" s="672">
        <f t="shared" si="0"/>
        <v>0</v>
      </c>
      <c r="K16" s="672">
        <f t="shared" si="0"/>
        <v>805.81909948728844</v>
      </c>
      <c r="L16" s="672">
        <f t="shared" si="0"/>
        <v>0</v>
      </c>
      <c r="M16" s="672">
        <f t="shared" ca="1" si="0"/>
        <v>0</v>
      </c>
      <c r="N16" s="672">
        <f t="shared" si="0"/>
        <v>0</v>
      </c>
      <c r="O16" s="672">
        <f t="shared" ca="1" si="0"/>
        <v>9179.5882925423812</v>
      </c>
      <c r="P16" s="672">
        <f t="shared" si="0"/>
        <v>56.280000000000008</v>
      </c>
      <c r="Q16" s="672">
        <f t="shared" si="0"/>
        <v>381.33333333333337</v>
      </c>
      <c r="R16" s="672">
        <f t="shared" ca="1" si="0"/>
        <v>244725.47128804133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2.8023822655986028</v>
      </c>
      <c r="D19" s="639">
        <f>transport!C54</f>
        <v>0</v>
      </c>
      <c r="E19" s="639">
        <f>transport!D54</f>
        <v>0</v>
      </c>
      <c r="F19" s="639">
        <f>transport!E54</f>
        <v>0</v>
      </c>
      <c r="G19" s="639">
        <f>transport!F54</f>
        <v>0</v>
      </c>
      <c r="H19" s="639">
        <f>transport!G54</f>
        <v>558.94068343491415</v>
      </c>
      <c r="I19" s="639">
        <f>transport!H54</f>
        <v>0</v>
      </c>
      <c r="J19" s="639">
        <f>transport!I54</f>
        <v>0</v>
      </c>
      <c r="K19" s="639">
        <f>transport!J54</f>
        <v>0</v>
      </c>
      <c r="L19" s="639">
        <f>transport!K54</f>
        <v>0</v>
      </c>
      <c r="M19" s="639">
        <f>transport!L54</f>
        <v>0</v>
      </c>
      <c r="N19" s="639">
        <f>transport!M54</f>
        <v>24.704582912002532</v>
      </c>
      <c r="O19" s="639">
        <f>transport!N54</f>
        <v>0</v>
      </c>
      <c r="P19" s="639">
        <f>transport!O54</f>
        <v>0</v>
      </c>
      <c r="Q19" s="640">
        <f>transport!P54</f>
        <v>0</v>
      </c>
      <c r="R19" s="642">
        <f>SUM(C19:Q19)</f>
        <v>586.4476486125152</v>
      </c>
      <c r="S19" s="68"/>
    </row>
    <row r="20" spans="1:19" s="443" customFormat="1">
      <c r="A20" s="753" t="s">
        <v>296</v>
      </c>
      <c r="B20" s="758"/>
      <c r="C20" s="639">
        <f>transport!B14</f>
        <v>2.873208458392301</v>
      </c>
      <c r="D20" s="639">
        <f>transport!C14</f>
        <v>0</v>
      </c>
      <c r="E20" s="639">
        <f>transport!D14</f>
        <v>3.7686477012675894</v>
      </c>
      <c r="F20" s="639">
        <f>transport!E14</f>
        <v>238.25545032837562</v>
      </c>
      <c r="G20" s="639">
        <f>transport!F14</f>
        <v>0</v>
      </c>
      <c r="H20" s="639">
        <f>transport!G14</f>
        <v>64975.840780136183</v>
      </c>
      <c r="I20" s="639">
        <f>transport!H14</f>
        <v>9527.5652741174872</v>
      </c>
      <c r="J20" s="639">
        <f>transport!I14</f>
        <v>0</v>
      </c>
      <c r="K20" s="639">
        <f>transport!J14</f>
        <v>0</v>
      </c>
      <c r="L20" s="639">
        <f>transport!K14</f>
        <v>0</v>
      </c>
      <c r="M20" s="639">
        <f>transport!L14</f>
        <v>0</v>
      </c>
      <c r="N20" s="639">
        <f>transport!M14</f>
        <v>3327.5557587702074</v>
      </c>
      <c r="O20" s="639">
        <f>transport!N14</f>
        <v>0</v>
      </c>
      <c r="P20" s="639">
        <f>transport!O14</f>
        <v>0</v>
      </c>
      <c r="Q20" s="640">
        <f>transport!P14</f>
        <v>0</v>
      </c>
      <c r="R20" s="642">
        <f>SUM(C20:Q20)</f>
        <v>78075.859119511908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5.6755907239909043</v>
      </c>
      <c r="D22" s="756">
        <f t="shared" ref="D22:R22" si="1">SUM(D18:D21)</f>
        <v>0</v>
      </c>
      <c r="E22" s="756">
        <f t="shared" si="1"/>
        <v>3.7686477012675894</v>
      </c>
      <c r="F22" s="756">
        <f t="shared" si="1"/>
        <v>238.25545032837562</v>
      </c>
      <c r="G22" s="756">
        <f t="shared" si="1"/>
        <v>0</v>
      </c>
      <c r="H22" s="756">
        <f t="shared" si="1"/>
        <v>65534.781463571097</v>
      </c>
      <c r="I22" s="756">
        <f t="shared" si="1"/>
        <v>9527.5652741174872</v>
      </c>
      <c r="J22" s="756">
        <f t="shared" si="1"/>
        <v>0</v>
      </c>
      <c r="K22" s="756">
        <f t="shared" si="1"/>
        <v>0</v>
      </c>
      <c r="L22" s="756">
        <f t="shared" si="1"/>
        <v>0</v>
      </c>
      <c r="M22" s="756">
        <f t="shared" si="1"/>
        <v>0</v>
      </c>
      <c r="N22" s="756">
        <f t="shared" si="1"/>
        <v>3352.2603416822099</v>
      </c>
      <c r="O22" s="756">
        <f t="shared" si="1"/>
        <v>0</v>
      </c>
      <c r="P22" s="756">
        <f t="shared" si="1"/>
        <v>0</v>
      </c>
      <c r="Q22" s="756">
        <f t="shared" si="1"/>
        <v>0</v>
      </c>
      <c r="R22" s="756">
        <f t="shared" si="1"/>
        <v>78662.306768124428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3753.116</v>
      </c>
      <c r="D24" s="639">
        <f>+landbouw!C8</f>
        <v>0</v>
      </c>
      <c r="E24" s="639">
        <f>+landbouw!D8</f>
        <v>3472.3094340000002</v>
      </c>
      <c r="F24" s="639">
        <f>+landbouw!E8</f>
        <v>37.062703598661784</v>
      </c>
      <c r="G24" s="639">
        <f>+landbouw!F8</f>
        <v>12521.388042871242</v>
      </c>
      <c r="H24" s="639">
        <f>+landbouw!G8</f>
        <v>0</v>
      </c>
      <c r="I24" s="639">
        <f>+landbouw!H8</f>
        <v>0</v>
      </c>
      <c r="J24" s="639">
        <f>+landbouw!I8</f>
        <v>0</v>
      </c>
      <c r="K24" s="639">
        <f>+landbouw!J8</f>
        <v>374.44706164698596</v>
      </c>
      <c r="L24" s="639">
        <f>+landbouw!K8</f>
        <v>0</v>
      </c>
      <c r="M24" s="639">
        <f>+landbouw!L8</f>
        <v>0</v>
      </c>
      <c r="N24" s="639">
        <f>+landbouw!M8</f>
        <v>0</v>
      </c>
      <c r="O24" s="639">
        <f>+landbouw!N8</f>
        <v>0</v>
      </c>
      <c r="P24" s="639">
        <f>+landbouw!O8</f>
        <v>0</v>
      </c>
      <c r="Q24" s="640">
        <f>+landbouw!P8</f>
        <v>0</v>
      </c>
      <c r="R24" s="642">
        <f>SUM(C24:Q24)</f>
        <v>20158.323242116887</v>
      </c>
      <c r="S24" s="68"/>
    </row>
    <row r="25" spans="1:19" s="443" customFormat="1" ht="15" thickBot="1">
      <c r="A25" s="775" t="s">
        <v>847</v>
      </c>
      <c r="B25" s="941"/>
      <c r="C25" s="942">
        <f>IF(Onbekend_ele_kWh="---",0,Onbekend_ele_kWh)/1000+IF(REST_rest_ele_kWh="---",0,REST_rest_ele_kWh)/1000</f>
        <v>374.74700000000001</v>
      </c>
      <c r="D25" s="942"/>
      <c r="E25" s="942">
        <f>IF(onbekend_gas_kWh="---",0,onbekend_gas_kWh)/1000+IF(REST_rest_gas_kWh="---",0,REST_rest_gas_kWh)/1000</f>
        <v>957.096</v>
      </c>
      <c r="F25" s="942"/>
      <c r="G25" s="942"/>
      <c r="H25" s="942"/>
      <c r="I25" s="942"/>
      <c r="J25" s="942"/>
      <c r="K25" s="942"/>
      <c r="L25" s="942"/>
      <c r="M25" s="942"/>
      <c r="N25" s="942"/>
      <c r="O25" s="942"/>
      <c r="P25" s="942"/>
      <c r="Q25" s="943"/>
      <c r="R25" s="642">
        <f>SUM(C25:Q25)</f>
        <v>1331.8430000000001</v>
      </c>
      <c r="S25" s="68"/>
    </row>
    <row r="26" spans="1:19" s="443" customFormat="1" ht="15.75" thickBot="1">
      <c r="A26" s="645" t="s">
        <v>848</v>
      </c>
      <c r="B26" s="761"/>
      <c r="C26" s="756">
        <f>SUM(C24:C25)</f>
        <v>4127.8630000000003</v>
      </c>
      <c r="D26" s="756">
        <f t="shared" ref="D26:R26" si="2">SUM(D24:D25)</f>
        <v>0</v>
      </c>
      <c r="E26" s="756">
        <f t="shared" si="2"/>
        <v>4429.4054340000002</v>
      </c>
      <c r="F26" s="756">
        <f t="shared" si="2"/>
        <v>37.062703598661784</v>
      </c>
      <c r="G26" s="756">
        <f t="shared" si="2"/>
        <v>12521.388042871242</v>
      </c>
      <c r="H26" s="756">
        <f t="shared" si="2"/>
        <v>0</v>
      </c>
      <c r="I26" s="756">
        <f t="shared" si="2"/>
        <v>0</v>
      </c>
      <c r="J26" s="756">
        <f t="shared" si="2"/>
        <v>0</v>
      </c>
      <c r="K26" s="756">
        <f t="shared" si="2"/>
        <v>374.44706164698596</v>
      </c>
      <c r="L26" s="756">
        <f t="shared" si="2"/>
        <v>0</v>
      </c>
      <c r="M26" s="756">
        <f t="shared" si="2"/>
        <v>0</v>
      </c>
      <c r="N26" s="756">
        <f t="shared" si="2"/>
        <v>0</v>
      </c>
      <c r="O26" s="756">
        <f t="shared" si="2"/>
        <v>0</v>
      </c>
      <c r="P26" s="756">
        <f t="shared" si="2"/>
        <v>0</v>
      </c>
      <c r="Q26" s="756">
        <f t="shared" si="2"/>
        <v>0</v>
      </c>
      <c r="R26" s="756">
        <f t="shared" si="2"/>
        <v>21490.166242116888</v>
      </c>
      <c r="S26" s="68"/>
    </row>
    <row r="27" spans="1:19" s="443" customFormat="1" ht="17.25" thickTop="1" thickBot="1">
      <c r="A27" s="646" t="s">
        <v>109</v>
      </c>
      <c r="B27" s="748"/>
      <c r="C27" s="647">
        <f ca="1">C22+C16+C26</f>
        <v>94167.61254002295</v>
      </c>
      <c r="D27" s="647">
        <f t="shared" ref="D27:R27" ca="1" si="3">D22+D16+D26</f>
        <v>6955.7142857142853</v>
      </c>
      <c r="E27" s="647">
        <f t="shared" ca="1" si="3"/>
        <v>89240.985884272683</v>
      </c>
      <c r="F27" s="647">
        <f t="shared" si="3"/>
        <v>1673.5594310093268</v>
      </c>
      <c r="G27" s="647">
        <f t="shared" ca="1" si="3"/>
        <v>63627.997290882595</v>
      </c>
      <c r="H27" s="647">
        <f t="shared" si="3"/>
        <v>65534.781463571097</v>
      </c>
      <c r="I27" s="647">
        <f t="shared" si="3"/>
        <v>9527.5652741174872</v>
      </c>
      <c r="J27" s="647">
        <f t="shared" si="3"/>
        <v>0</v>
      </c>
      <c r="K27" s="647">
        <f t="shared" si="3"/>
        <v>1180.2661611342744</v>
      </c>
      <c r="L27" s="647">
        <f t="shared" si="3"/>
        <v>0</v>
      </c>
      <c r="M27" s="647">
        <f t="shared" ca="1" si="3"/>
        <v>0</v>
      </c>
      <c r="N27" s="647">
        <f t="shared" si="3"/>
        <v>3352.2603416822099</v>
      </c>
      <c r="O27" s="647">
        <f t="shared" ca="1" si="3"/>
        <v>9179.5882925423812</v>
      </c>
      <c r="P27" s="647">
        <f t="shared" si="3"/>
        <v>56.280000000000008</v>
      </c>
      <c r="Q27" s="647">
        <f t="shared" si="3"/>
        <v>381.33333333333337</v>
      </c>
      <c r="R27" s="647">
        <f t="shared" ca="1" si="3"/>
        <v>344877.94429828267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3803.6488861530956</v>
      </c>
      <c r="D40" s="639">
        <f ca="1">tertiair!C20</f>
        <v>27.499159663865548</v>
      </c>
      <c r="E40" s="639">
        <f ca="1">tertiair!D20</f>
        <v>3388.7872895154287</v>
      </c>
      <c r="F40" s="639">
        <f>tertiair!E20</f>
        <v>17.784538974229626</v>
      </c>
      <c r="G40" s="639">
        <f ca="1">tertiair!F20</f>
        <v>791.33846250408908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8029.0583368107082</v>
      </c>
    </row>
    <row r="41" spans="1:18">
      <c r="A41" s="766" t="s">
        <v>214</v>
      </c>
      <c r="B41" s="773"/>
      <c r="C41" s="639">
        <f ca="1">huishoudens!B12</f>
        <v>3864.5377787780749</v>
      </c>
      <c r="D41" s="639">
        <f ca="1">huishoudens!C12</f>
        <v>0</v>
      </c>
      <c r="E41" s="639">
        <f>huishoudens!D12</f>
        <v>7791.4693973599997</v>
      </c>
      <c r="F41" s="639">
        <f>huishoudens!E12</f>
        <v>187.23149699953689</v>
      </c>
      <c r="G41" s="639">
        <f>huishoudens!F12</f>
        <v>6713.9852405630872</v>
      </c>
      <c r="H41" s="639">
        <f>huishoudens!G12</f>
        <v>0</v>
      </c>
      <c r="I41" s="639">
        <f>huishoudens!H12</f>
        <v>0</v>
      </c>
      <c r="J41" s="639">
        <f>huishoudens!I12</f>
        <v>0</v>
      </c>
      <c r="K41" s="639">
        <f>huishoudens!J12</f>
        <v>161.51803238337129</v>
      </c>
      <c r="L41" s="639">
        <f>huishoudens!K12</f>
        <v>0</v>
      </c>
      <c r="M41" s="639">
        <f>huishoudens!L12</f>
        <v>0</v>
      </c>
      <c r="N41" s="639">
        <f>huishoudens!M12</f>
        <v>0</v>
      </c>
      <c r="O41" s="639">
        <f>huishoudens!N12</f>
        <v>0</v>
      </c>
      <c r="P41" s="639">
        <f>huishoudens!O12</f>
        <v>0</v>
      </c>
      <c r="Q41" s="714">
        <f>huishoudens!P12</f>
        <v>0</v>
      </c>
      <c r="R41" s="794">
        <f t="shared" ca="1" si="4"/>
        <v>18718.741946084068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9818.1085305873585</v>
      </c>
      <c r="D43" s="639">
        <f ca="1">industrie!C22</f>
        <v>0</v>
      </c>
      <c r="E43" s="639">
        <f>industrie!D22</f>
        <v>5950.921297244</v>
      </c>
      <c r="F43" s="639">
        <f>industrie!E22</f>
        <v>112.38473392391322</v>
      </c>
      <c r="G43" s="639">
        <f>industrie!F22</f>
        <v>6140.1409661518555</v>
      </c>
      <c r="H43" s="639">
        <f>industrie!G22</f>
        <v>0</v>
      </c>
      <c r="I43" s="639">
        <f>industrie!H22</f>
        <v>0</v>
      </c>
      <c r="J43" s="639">
        <f>industrie!I22</f>
        <v>0</v>
      </c>
      <c r="K43" s="639">
        <f>industrie!J22</f>
        <v>123.7419288351288</v>
      </c>
      <c r="L43" s="639">
        <f>industrie!K22</f>
        <v>0</v>
      </c>
      <c r="M43" s="639">
        <f>industrie!L22</f>
        <v>0</v>
      </c>
      <c r="N43" s="639">
        <f>industrie!M22</f>
        <v>0</v>
      </c>
      <c r="O43" s="639">
        <f>industrie!N22</f>
        <v>0</v>
      </c>
      <c r="P43" s="639">
        <f>industrie!O22</f>
        <v>0</v>
      </c>
      <c r="Q43" s="714">
        <f>industrie!P22</f>
        <v>0</v>
      </c>
      <c r="R43" s="793">
        <f t="shared" ca="1" si="4"/>
        <v>22145.297456742257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17486.295195518527</v>
      </c>
      <c r="D46" s="672">
        <f t="shared" ref="D46:Q46" ca="1" si="5">SUM(D39:D45)</f>
        <v>27.499159663865548</v>
      </c>
      <c r="E46" s="672">
        <f t="shared" ca="1" si="5"/>
        <v>17131.177984119429</v>
      </c>
      <c r="F46" s="672">
        <f t="shared" si="5"/>
        <v>317.40076989767977</v>
      </c>
      <c r="G46" s="672">
        <f t="shared" ca="1" si="5"/>
        <v>13645.464669219033</v>
      </c>
      <c r="H46" s="672">
        <f t="shared" si="5"/>
        <v>0</v>
      </c>
      <c r="I46" s="672">
        <f t="shared" si="5"/>
        <v>0</v>
      </c>
      <c r="J46" s="672">
        <f t="shared" si="5"/>
        <v>0</v>
      </c>
      <c r="K46" s="672">
        <f t="shared" si="5"/>
        <v>285.25996121850011</v>
      </c>
      <c r="L46" s="672">
        <f t="shared" si="5"/>
        <v>0</v>
      </c>
      <c r="M46" s="672">
        <f t="shared" ca="1" si="5"/>
        <v>0</v>
      </c>
      <c r="N46" s="672">
        <f t="shared" si="5"/>
        <v>0</v>
      </c>
      <c r="O46" s="672">
        <f t="shared" ca="1" si="5"/>
        <v>0</v>
      </c>
      <c r="P46" s="672">
        <f t="shared" si="5"/>
        <v>0</v>
      </c>
      <c r="Q46" s="672">
        <f t="shared" si="5"/>
        <v>0</v>
      </c>
      <c r="R46" s="672">
        <f ca="1">SUM(R39:R45)</f>
        <v>48893.097739637029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0.54427486614166176</v>
      </c>
      <c r="D49" s="639">
        <f ca="1">transport!C58</f>
        <v>0</v>
      </c>
      <c r="E49" s="639">
        <f>transport!D58</f>
        <v>0</v>
      </c>
      <c r="F49" s="639">
        <f>transport!E58</f>
        <v>0</v>
      </c>
      <c r="G49" s="639">
        <f>transport!F58</f>
        <v>0</v>
      </c>
      <c r="H49" s="639">
        <f>transport!G58</f>
        <v>149.2371624771221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149.78143734326375</v>
      </c>
    </row>
    <row r="50" spans="1:18">
      <c r="A50" s="769" t="s">
        <v>296</v>
      </c>
      <c r="B50" s="779"/>
      <c r="C50" s="948">
        <f ca="1">transport!B18</f>
        <v>0.55803063282464838</v>
      </c>
      <c r="D50" s="948">
        <f>transport!C18</f>
        <v>0</v>
      </c>
      <c r="E50" s="948">
        <f>transport!D18</f>
        <v>0.76126683565605313</v>
      </c>
      <c r="F50" s="948">
        <f>transport!E18</f>
        <v>54.083987224541268</v>
      </c>
      <c r="G50" s="948">
        <f>transport!F18</f>
        <v>0</v>
      </c>
      <c r="H50" s="948">
        <f>transport!G18</f>
        <v>17348.549488296361</v>
      </c>
      <c r="I50" s="948">
        <f>transport!H18</f>
        <v>2372.3637532552543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19776.316526244635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1.1023054989663101</v>
      </c>
      <c r="D52" s="672">
        <f t="shared" ref="D52:Q52" ca="1" si="6">SUM(D48:D51)</f>
        <v>0</v>
      </c>
      <c r="E52" s="672">
        <f t="shared" si="6"/>
        <v>0.76126683565605313</v>
      </c>
      <c r="F52" s="672">
        <f t="shared" si="6"/>
        <v>54.083987224541268</v>
      </c>
      <c r="G52" s="672">
        <f t="shared" si="6"/>
        <v>0</v>
      </c>
      <c r="H52" s="672">
        <f t="shared" si="6"/>
        <v>17497.786650773483</v>
      </c>
      <c r="I52" s="672">
        <f t="shared" si="6"/>
        <v>2372.3637532552543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19926.097963587898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728.92507692122172</v>
      </c>
      <c r="D54" s="948">
        <f ca="1">+landbouw!C12</f>
        <v>0</v>
      </c>
      <c r="E54" s="948">
        <f>+landbouw!D12</f>
        <v>701.40650566800014</v>
      </c>
      <c r="F54" s="948">
        <f>+landbouw!E12</f>
        <v>8.4132337168962259</v>
      </c>
      <c r="G54" s="948">
        <f>+landbouw!F12</f>
        <v>3343.2106074466219</v>
      </c>
      <c r="H54" s="948">
        <f>+landbouw!G12</f>
        <v>0</v>
      </c>
      <c r="I54" s="948">
        <f>+landbouw!H12</f>
        <v>0</v>
      </c>
      <c r="J54" s="948">
        <f>+landbouw!I12</f>
        <v>0</v>
      </c>
      <c r="K54" s="948">
        <f>+landbouw!J12</f>
        <v>132.55425982303302</v>
      </c>
      <c r="L54" s="948">
        <f>+landbouw!K12</f>
        <v>0</v>
      </c>
      <c r="M54" s="948">
        <f>+landbouw!L12</f>
        <v>0</v>
      </c>
      <c r="N54" s="948">
        <f>+landbouw!M12</f>
        <v>0</v>
      </c>
      <c r="O54" s="948">
        <f>+landbouw!N12</f>
        <v>0</v>
      </c>
      <c r="P54" s="948">
        <f>+landbouw!O12</f>
        <v>0</v>
      </c>
      <c r="Q54" s="949">
        <f>+landbouw!P12</f>
        <v>0</v>
      </c>
      <c r="R54" s="671">
        <f ca="1">SUM(C54:Q54)</f>
        <v>4914.5096835757731</v>
      </c>
    </row>
    <row r="55" spans="1:18" ht="15" thickBot="1">
      <c r="A55" s="769" t="s">
        <v>847</v>
      </c>
      <c r="B55" s="779"/>
      <c r="C55" s="948">
        <f ca="1">C25*'EF ele_warmte'!B12</f>
        <v>72.782851849235968</v>
      </c>
      <c r="D55" s="948"/>
      <c r="E55" s="948">
        <f>E25*EF_CO2_aardgas</f>
        <v>193.333392</v>
      </c>
      <c r="F55" s="948"/>
      <c r="G55" s="948"/>
      <c r="H55" s="948"/>
      <c r="I55" s="948"/>
      <c r="J55" s="948"/>
      <c r="K55" s="948"/>
      <c r="L55" s="948"/>
      <c r="M55" s="948"/>
      <c r="N55" s="948"/>
      <c r="O55" s="948"/>
      <c r="P55" s="948"/>
      <c r="Q55" s="949"/>
      <c r="R55" s="671">
        <f ca="1">SUM(C55:Q55)</f>
        <v>266.11624384923596</v>
      </c>
    </row>
    <row r="56" spans="1:18" ht="15.75" thickBot="1">
      <c r="A56" s="767" t="s">
        <v>848</v>
      </c>
      <c r="B56" s="780"/>
      <c r="C56" s="672">
        <f ca="1">SUM(C54:C55)</f>
        <v>801.70792877045767</v>
      </c>
      <c r="D56" s="672">
        <f t="shared" ref="D56:Q56" ca="1" si="7">SUM(D54:D55)</f>
        <v>0</v>
      </c>
      <c r="E56" s="672">
        <f t="shared" si="7"/>
        <v>894.73989766800014</v>
      </c>
      <c r="F56" s="672">
        <f t="shared" si="7"/>
        <v>8.4132337168962259</v>
      </c>
      <c r="G56" s="672">
        <f t="shared" si="7"/>
        <v>3343.2106074466219</v>
      </c>
      <c r="H56" s="672">
        <f t="shared" si="7"/>
        <v>0</v>
      </c>
      <c r="I56" s="672">
        <f t="shared" si="7"/>
        <v>0</v>
      </c>
      <c r="J56" s="672">
        <f t="shared" si="7"/>
        <v>0</v>
      </c>
      <c r="K56" s="672">
        <f t="shared" si="7"/>
        <v>132.55425982303302</v>
      </c>
      <c r="L56" s="672">
        <f t="shared" si="7"/>
        <v>0</v>
      </c>
      <c r="M56" s="672">
        <f t="shared" si="7"/>
        <v>0</v>
      </c>
      <c r="N56" s="672">
        <f t="shared" si="7"/>
        <v>0</v>
      </c>
      <c r="O56" s="672">
        <f t="shared" si="7"/>
        <v>0</v>
      </c>
      <c r="P56" s="672">
        <f t="shared" si="7"/>
        <v>0</v>
      </c>
      <c r="Q56" s="673">
        <f t="shared" si="7"/>
        <v>0</v>
      </c>
      <c r="R56" s="674">
        <f ca="1">SUM(R54:R55)</f>
        <v>5180.6259274250087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18289.105429787953</v>
      </c>
      <c r="D61" s="680">
        <f t="shared" ref="D61:Q61" ca="1" si="8">D46+D52+D56</f>
        <v>27.499159663865548</v>
      </c>
      <c r="E61" s="680">
        <f t="shared" ca="1" si="8"/>
        <v>18026.679148623087</v>
      </c>
      <c r="F61" s="680">
        <f t="shared" si="8"/>
        <v>379.89799083911726</v>
      </c>
      <c r="G61" s="680">
        <f t="shared" ca="1" si="8"/>
        <v>16988.675276665654</v>
      </c>
      <c r="H61" s="680">
        <f t="shared" si="8"/>
        <v>17497.786650773483</v>
      </c>
      <c r="I61" s="680">
        <f t="shared" si="8"/>
        <v>2372.3637532552543</v>
      </c>
      <c r="J61" s="680">
        <f t="shared" si="8"/>
        <v>0</v>
      </c>
      <c r="K61" s="680">
        <f t="shared" si="8"/>
        <v>417.81422104153313</v>
      </c>
      <c r="L61" s="680">
        <f t="shared" si="8"/>
        <v>0</v>
      </c>
      <c r="M61" s="680">
        <f t="shared" ca="1" si="8"/>
        <v>0</v>
      </c>
      <c r="N61" s="680">
        <f t="shared" si="8"/>
        <v>0</v>
      </c>
      <c r="O61" s="680">
        <f t="shared" ca="1" si="8"/>
        <v>0</v>
      </c>
      <c r="P61" s="680">
        <f t="shared" si="8"/>
        <v>0</v>
      </c>
      <c r="Q61" s="680">
        <f t="shared" si="8"/>
        <v>0</v>
      </c>
      <c r="R61" s="680">
        <f ca="1">R46+R52+R56</f>
        <v>73999.821630649923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0.19421863777224627</v>
      </c>
      <c r="D63" s="724">
        <f t="shared" ca="1" si="9"/>
        <v>3.9534630857888447E-3</v>
      </c>
      <c r="E63" s="950">
        <f t="shared" ca="1" si="9"/>
        <v>0.20200000000000007</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6629.5807842616841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4788</v>
      </c>
      <c r="C76" s="690">
        <f>'lokale energieproductie'!B8*IFERROR(SUM(D76:H76)/SUM(D76:O76),0)</f>
        <v>81.000000000000014</v>
      </c>
      <c r="D76" s="960">
        <f>'lokale energieproductie'!C8</f>
        <v>95.294117647058826</v>
      </c>
      <c r="E76" s="961">
        <f>'lokale energieproductie'!D8</f>
        <v>0</v>
      </c>
      <c r="F76" s="961">
        <f>'lokale energieproductie'!E8</f>
        <v>0</v>
      </c>
      <c r="G76" s="961">
        <f>'lokale energieproductie'!F8</f>
        <v>0</v>
      </c>
      <c r="H76" s="961">
        <f>'lokale energieproductie'!G8</f>
        <v>0</v>
      </c>
      <c r="I76" s="961">
        <f>'lokale energieproductie'!I8</f>
        <v>0</v>
      </c>
      <c r="J76" s="961">
        <f>'lokale energieproductie'!J8</f>
        <v>5632.9411764705883</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19.249411764705883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11417.580784261685</v>
      </c>
      <c r="C78" s="695">
        <f>SUM(C72:C77)</f>
        <v>81.000000000000014</v>
      </c>
      <c r="D78" s="696">
        <f t="shared" ref="D78:H78" si="10">SUM(D76:D77)</f>
        <v>95.294117647058826</v>
      </c>
      <c r="E78" s="696">
        <f t="shared" si="10"/>
        <v>0</v>
      </c>
      <c r="F78" s="696">
        <f t="shared" si="10"/>
        <v>0</v>
      </c>
      <c r="G78" s="696">
        <f t="shared" si="10"/>
        <v>0</v>
      </c>
      <c r="H78" s="696">
        <f t="shared" si="10"/>
        <v>0</v>
      </c>
      <c r="I78" s="696">
        <f>SUM(I76:I77)</f>
        <v>0</v>
      </c>
      <c r="J78" s="696">
        <f>SUM(J76:J77)</f>
        <v>5632.9411764705883</v>
      </c>
      <c r="K78" s="696">
        <f t="shared" ref="K78:L78" si="11">SUM(K76:K77)</f>
        <v>0</v>
      </c>
      <c r="L78" s="696">
        <f t="shared" si="11"/>
        <v>0</v>
      </c>
      <c r="M78" s="696">
        <f>SUM(M76:M77)</f>
        <v>0</v>
      </c>
      <c r="N78" s="696">
        <f>SUM(N76:N77)</f>
        <v>0</v>
      </c>
      <c r="O78" s="804">
        <f>SUM(O76:O77)</f>
        <v>0</v>
      </c>
      <c r="P78" s="697">
        <v>0</v>
      </c>
      <c r="Q78" s="697">
        <f>SUM(Q76:Q77)</f>
        <v>19.249411764705883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6839.9999999999991</v>
      </c>
      <c r="C87" s="706">
        <f>'lokale energieproductie'!B17*IFERROR(SUM(D87:H87)/SUM(D87:O87),0)</f>
        <v>115.71428571428572</v>
      </c>
      <c r="D87" s="717">
        <f>'lokale energieproductie'!C17</f>
        <v>136.1344537815126</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8047.0588235294108</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27.499159663865548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6839.9999999999991</v>
      </c>
      <c r="C90" s="695">
        <f>SUM(C87:C89)</f>
        <v>115.71428571428572</v>
      </c>
      <c r="D90" s="695">
        <f t="shared" ref="D90:H90" si="12">SUM(D87:D89)</f>
        <v>136.1344537815126</v>
      </c>
      <c r="E90" s="695">
        <f t="shared" si="12"/>
        <v>0</v>
      </c>
      <c r="F90" s="695">
        <f t="shared" si="12"/>
        <v>0</v>
      </c>
      <c r="G90" s="695">
        <f t="shared" si="12"/>
        <v>0</v>
      </c>
      <c r="H90" s="695">
        <f t="shared" si="12"/>
        <v>0</v>
      </c>
      <c r="I90" s="695">
        <f>SUM(I87:I89)</f>
        <v>0</v>
      </c>
      <c r="J90" s="695">
        <f>SUM(J87:J89)</f>
        <v>8047.0588235294108</v>
      </c>
      <c r="K90" s="695">
        <f t="shared" ref="K90:L90" si="13">SUM(K87:K89)</f>
        <v>0</v>
      </c>
      <c r="L90" s="695">
        <f t="shared" si="13"/>
        <v>0</v>
      </c>
      <c r="M90" s="695">
        <f>SUM(M87:M89)</f>
        <v>0</v>
      </c>
      <c r="N90" s="695">
        <f>SUM(N87:N89)</f>
        <v>0</v>
      </c>
      <c r="O90" s="695">
        <f>SUM(O87:O89)</f>
        <v>0</v>
      </c>
      <c r="P90" s="695">
        <v>0</v>
      </c>
      <c r="Q90" s="695">
        <f>SUM(Q87:Q89)</f>
        <v>27.499159663865548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19897.872949298977</v>
      </c>
      <c r="C4" s="447">
        <f>huishoudens!C8</f>
        <v>0</v>
      </c>
      <c r="D4" s="447">
        <f>huishoudens!D8</f>
        <v>38571.630679999995</v>
      </c>
      <c r="E4" s="447">
        <f>huishoudens!E8</f>
        <v>824.80835682615361</v>
      </c>
      <c r="F4" s="447">
        <f>huishoudens!F8</f>
        <v>25146.012136940401</v>
      </c>
      <c r="G4" s="447">
        <f>huishoudens!G8</f>
        <v>0</v>
      </c>
      <c r="H4" s="447">
        <f>huishoudens!H8</f>
        <v>0</v>
      </c>
      <c r="I4" s="447">
        <f>huishoudens!I8</f>
        <v>0</v>
      </c>
      <c r="J4" s="447">
        <f>huishoudens!J8</f>
        <v>456.26562820161388</v>
      </c>
      <c r="K4" s="447">
        <f>huishoudens!K8</f>
        <v>0</v>
      </c>
      <c r="L4" s="447">
        <f>huishoudens!L8</f>
        <v>0</v>
      </c>
      <c r="M4" s="447">
        <f>huishoudens!M8</f>
        <v>0</v>
      </c>
      <c r="N4" s="447">
        <f>huishoudens!N8</f>
        <v>5546.6376900548858</v>
      </c>
      <c r="O4" s="447">
        <f>huishoudens!O8</f>
        <v>56.280000000000008</v>
      </c>
      <c r="P4" s="448">
        <f>huishoudens!P8</f>
        <v>286</v>
      </c>
      <c r="Q4" s="449">
        <f>SUM(B4:P4)</f>
        <v>90785.507441321999</v>
      </c>
    </row>
    <row r="5" spans="1:17">
      <c r="A5" s="446" t="s">
        <v>149</v>
      </c>
      <c r="B5" s="447">
        <f ca="1">tertiair!B16</f>
        <v>18529.063000000002</v>
      </c>
      <c r="C5" s="447">
        <f ca="1">tertiair!C16</f>
        <v>6955.7142857142853</v>
      </c>
      <c r="D5" s="447">
        <f ca="1">tertiair!D16</f>
        <v>16776.174700571428</v>
      </c>
      <c r="E5" s="447">
        <f>tertiair!E16</f>
        <v>78.34598667061509</v>
      </c>
      <c r="F5" s="447">
        <f ca="1">tertiair!F16</f>
        <v>2963.8144663074495</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0</v>
      </c>
      <c r="P5" s="448">
        <f>tertiair!P16</f>
        <v>95.333333333333343</v>
      </c>
      <c r="Q5" s="446">
        <f t="shared" ref="Q5:Q14" ca="1" si="0">SUM(B5:P5)</f>
        <v>45398.445772597115</v>
      </c>
    </row>
    <row r="6" spans="1:17">
      <c r="A6" s="446" t="s">
        <v>187</v>
      </c>
      <c r="B6" s="447">
        <f>'openbare verlichting'!B8</f>
        <v>1055.3030000000001</v>
      </c>
      <c r="C6" s="447"/>
      <c r="D6" s="447"/>
      <c r="E6" s="447"/>
      <c r="F6" s="447"/>
      <c r="G6" s="447"/>
      <c r="H6" s="447"/>
      <c r="I6" s="447"/>
      <c r="J6" s="447"/>
      <c r="K6" s="447"/>
      <c r="L6" s="447"/>
      <c r="M6" s="447"/>
      <c r="N6" s="447"/>
      <c r="O6" s="447"/>
      <c r="P6" s="448"/>
      <c r="Q6" s="446">
        <f t="shared" si="0"/>
        <v>1055.3030000000001</v>
      </c>
    </row>
    <row r="7" spans="1:17">
      <c r="A7" s="446" t="s">
        <v>105</v>
      </c>
      <c r="B7" s="447">
        <f>landbouw!B8</f>
        <v>3753.116</v>
      </c>
      <c r="C7" s="447">
        <f>landbouw!C8</f>
        <v>0</v>
      </c>
      <c r="D7" s="447">
        <f>landbouw!D8</f>
        <v>3472.3094340000002</v>
      </c>
      <c r="E7" s="447">
        <f>landbouw!E8</f>
        <v>37.062703598661784</v>
      </c>
      <c r="F7" s="447">
        <f>landbouw!F8</f>
        <v>12521.388042871242</v>
      </c>
      <c r="G7" s="447">
        <f>landbouw!G8</f>
        <v>0</v>
      </c>
      <c r="H7" s="447">
        <f>landbouw!H8</f>
        <v>0</v>
      </c>
      <c r="I7" s="447">
        <f>landbouw!I8</f>
        <v>0</v>
      </c>
      <c r="J7" s="447">
        <f>landbouw!J8</f>
        <v>374.44706164698596</v>
      </c>
      <c r="K7" s="447">
        <f>landbouw!K8</f>
        <v>0</v>
      </c>
      <c r="L7" s="447">
        <f>landbouw!L8</f>
        <v>0</v>
      </c>
      <c r="M7" s="447">
        <f>landbouw!M8</f>
        <v>0</v>
      </c>
      <c r="N7" s="447">
        <f>landbouw!N8</f>
        <v>0</v>
      </c>
      <c r="O7" s="447">
        <f>landbouw!O8</f>
        <v>0</v>
      </c>
      <c r="P7" s="448">
        <f>landbouw!P8</f>
        <v>0</v>
      </c>
      <c r="Q7" s="446">
        <f t="shared" si="0"/>
        <v>20158.323242116887</v>
      </c>
    </row>
    <row r="8" spans="1:17">
      <c r="A8" s="446" t="s">
        <v>640</v>
      </c>
      <c r="B8" s="447">
        <f>industrie!B18</f>
        <v>50551.834999999999</v>
      </c>
      <c r="C8" s="447">
        <f>industrie!C18</f>
        <v>0</v>
      </c>
      <c r="D8" s="447">
        <f>industrie!D18</f>
        <v>29460.006421999999</v>
      </c>
      <c r="E8" s="447">
        <f>industrie!E18</f>
        <v>495.08693358552074</v>
      </c>
      <c r="F8" s="447">
        <f>industrie!F18</f>
        <v>22996.782644763502</v>
      </c>
      <c r="G8" s="447">
        <f>industrie!G18</f>
        <v>0</v>
      </c>
      <c r="H8" s="447">
        <f>industrie!H18</f>
        <v>0</v>
      </c>
      <c r="I8" s="447">
        <f>industrie!I18</f>
        <v>0</v>
      </c>
      <c r="J8" s="447">
        <f>industrie!J18</f>
        <v>349.55347128567462</v>
      </c>
      <c r="K8" s="447">
        <f>industrie!K18</f>
        <v>0</v>
      </c>
      <c r="L8" s="447">
        <f>industrie!L18</f>
        <v>0</v>
      </c>
      <c r="M8" s="447">
        <f>industrie!M18</f>
        <v>0</v>
      </c>
      <c r="N8" s="447">
        <f>industrie!N18</f>
        <v>3632.9506024874959</v>
      </c>
      <c r="O8" s="447">
        <f>industrie!O18</f>
        <v>0</v>
      </c>
      <c r="P8" s="448">
        <f>industrie!P18</f>
        <v>0</v>
      </c>
      <c r="Q8" s="446">
        <f t="shared" si="0"/>
        <v>107486.2150741222</v>
      </c>
    </row>
    <row r="9" spans="1:17" s="452" customFormat="1">
      <c r="A9" s="450" t="s">
        <v>560</v>
      </c>
      <c r="B9" s="451">
        <f>transport!B14</f>
        <v>2.873208458392301</v>
      </c>
      <c r="C9" s="451">
        <f>transport!C14</f>
        <v>0</v>
      </c>
      <c r="D9" s="451">
        <f>transport!D14</f>
        <v>3.7686477012675894</v>
      </c>
      <c r="E9" s="451">
        <f>transport!E14</f>
        <v>238.25545032837562</v>
      </c>
      <c r="F9" s="451">
        <f>transport!F14</f>
        <v>0</v>
      </c>
      <c r="G9" s="451">
        <f>transport!G14</f>
        <v>64975.840780136183</v>
      </c>
      <c r="H9" s="451">
        <f>transport!H14</f>
        <v>9527.5652741174872</v>
      </c>
      <c r="I9" s="451">
        <f>transport!I14</f>
        <v>0</v>
      </c>
      <c r="J9" s="451">
        <f>transport!J14</f>
        <v>0</v>
      </c>
      <c r="K9" s="451">
        <f>transport!K14</f>
        <v>0</v>
      </c>
      <c r="L9" s="451">
        <f>transport!L14</f>
        <v>0</v>
      </c>
      <c r="M9" s="451">
        <f>transport!M14</f>
        <v>3327.5557587702074</v>
      </c>
      <c r="N9" s="451">
        <f>transport!N14</f>
        <v>0</v>
      </c>
      <c r="O9" s="451">
        <f>transport!O14</f>
        <v>0</v>
      </c>
      <c r="P9" s="451">
        <f>transport!P14</f>
        <v>0</v>
      </c>
      <c r="Q9" s="450">
        <f>SUM(B9:P9)</f>
        <v>78075.859119511908</v>
      </c>
    </row>
    <row r="10" spans="1:17">
      <c r="A10" s="446" t="s">
        <v>550</v>
      </c>
      <c r="B10" s="447">
        <f>transport!B54</f>
        <v>2.8023822655986028</v>
      </c>
      <c r="C10" s="447">
        <f>transport!C54</f>
        <v>0</v>
      </c>
      <c r="D10" s="447">
        <f>transport!D54</f>
        <v>0</v>
      </c>
      <c r="E10" s="447">
        <f>transport!E54</f>
        <v>0</v>
      </c>
      <c r="F10" s="447">
        <f>transport!F54</f>
        <v>0</v>
      </c>
      <c r="G10" s="447">
        <f>transport!G54</f>
        <v>558.94068343491415</v>
      </c>
      <c r="H10" s="447">
        <f>transport!H54</f>
        <v>0</v>
      </c>
      <c r="I10" s="447">
        <f>transport!I54</f>
        <v>0</v>
      </c>
      <c r="J10" s="447">
        <f>transport!J54</f>
        <v>0</v>
      </c>
      <c r="K10" s="447">
        <f>transport!K54</f>
        <v>0</v>
      </c>
      <c r="L10" s="447">
        <f>transport!L54</f>
        <v>0</v>
      </c>
      <c r="M10" s="447">
        <f>transport!M54</f>
        <v>24.704582912002532</v>
      </c>
      <c r="N10" s="447">
        <f>transport!N54</f>
        <v>0</v>
      </c>
      <c r="O10" s="447">
        <f>transport!O54</f>
        <v>0</v>
      </c>
      <c r="P10" s="448">
        <f>transport!P54</f>
        <v>0</v>
      </c>
      <c r="Q10" s="446">
        <f t="shared" si="0"/>
        <v>586.4476486125152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374.74700000000001</v>
      </c>
      <c r="C14" s="454"/>
      <c r="D14" s="454">
        <f>'SEAP template'!E25</f>
        <v>957.096</v>
      </c>
      <c r="E14" s="454"/>
      <c r="F14" s="454"/>
      <c r="G14" s="454"/>
      <c r="H14" s="454"/>
      <c r="I14" s="454"/>
      <c r="J14" s="454"/>
      <c r="K14" s="454"/>
      <c r="L14" s="454"/>
      <c r="M14" s="454"/>
      <c r="N14" s="454"/>
      <c r="O14" s="454"/>
      <c r="P14" s="455"/>
      <c r="Q14" s="446">
        <f t="shared" si="0"/>
        <v>1331.8430000000001</v>
      </c>
    </row>
    <row r="15" spans="1:17" s="459" customFormat="1">
      <c r="A15" s="456" t="s">
        <v>554</v>
      </c>
      <c r="B15" s="457">
        <f ca="1">SUM(B4:B14)</f>
        <v>94167.612540022965</v>
      </c>
      <c r="C15" s="457">
        <f t="shared" ref="C15:Q15" ca="1" si="1">SUM(C4:C14)</f>
        <v>6955.7142857142853</v>
      </c>
      <c r="D15" s="457">
        <f t="shared" ca="1" si="1"/>
        <v>89240.985884272697</v>
      </c>
      <c r="E15" s="457">
        <f t="shared" si="1"/>
        <v>1673.5594310093268</v>
      </c>
      <c r="F15" s="457">
        <f t="shared" ca="1" si="1"/>
        <v>63627.997290882595</v>
      </c>
      <c r="G15" s="457">
        <f t="shared" si="1"/>
        <v>65534.781463571097</v>
      </c>
      <c r="H15" s="457">
        <f t="shared" si="1"/>
        <v>9527.5652741174872</v>
      </c>
      <c r="I15" s="457">
        <f t="shared" si="1"/>
        <v>0</v>
      </c>
      <c r="J15" s="457">
        <f t="shared" si="1"/>
        <v>1180.2661611342746</v>
      </c>
      <c r="K15" s="457">
        <f t="shared" si="1"/>
        <v>0</v>
      </c>
      <c r="L15" s="457">
        <f t="shared" ca="1" si="1"/>
        <v>0</v>
      </c>
      <c r="M15" s="457">
        <f t="shared" si="1"/>
        <v>3352.2603416822099</v>
      </c>
      <c r="N15" s="457">
        <f t="shared" ca="1" si="1"/>
        <v>9179.5882925423812</v>
      </c>
      <c r="O15" s="457">
        <f t="shared" si="1"/>
        <v>56.280000000000008</v>
      </c>
      <c r="P15" s="457">
        <f t="shared" si="1"/>
        <v>381.33333333333337</v>
      </c>
      <c r="Q15" s="457">
        <f t="shared" ca="1" si="1"/>
        <v>344877.94429828261</v>
      </c>
    </row>
    <row r="17" spans="1:17">
      <c r="A17" s="460" t="s">
        <v>555</v>
      </c>
      <c r="B17" s="729">
        <f ca="1">huishoudens!B10</f>
        <v>0.19421863777224624</v>
      </c>
      <c r="C17" s="729">
        <f ca="1">huishoudens!C10</f>
        <v>3.9534630857888447E-3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3864.5377787780749</v>
      </c>
      <c r="C22" s="447">
        <f t="shared" ref="C22:C32" ca="1" si="3">C4*$C$17</f>
        <v>0</v>
      </c>
      <c r="D22" s="447">
        <f t="shared" ref="D22:D32" si="4">D4*$D$17</f>
        <v>7791.4693973599997</v>
      </c>
      <c r="E22" s="447">
        <f t="shared" ref="E22:E32" si="5">E4*$E$17</f>
        <v>187.23149699953689</v>
      </c>
      <c r="F22" s="447">
        <f t="shared" ref="F22:F32" si="6">F4*$F$17</f>
        <v>6713.9852405630872</v>
      </c>
      <c r="G22" s="447">
        <f t="shared" ref="G22:G32" si="7">G4*$G$17</f>
        <v>0</v>
      </c>
      <c r="H22" s="447">
        <f t="shared" ref="H22:H32" si="8">H4*$H$17</f>
        <v>0</v>
      </c>
      <c r="I22" s="447">
        <f t="shared" ref="I22:I32" si="9">I4*$I$17</f>
        <v>0</v>
      </c>
      <c r="J22" s="447">
        <f t="shared" ref="J22:J32" si="10">J4*$J$17</f>
        <v>161.51803238337129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18718.741946084068</v>
      </c>
    </row>
    <row r="23" spans="1:17">
      <c r="A23" s="446" t="s">
        <v>149</v>
      </c>
      <c r="B23" s="447">
        <f t="shared" ca="1" si="2"/>
        <v>3598.6893750561308</v>
      </c>
      <c r="C23" s="447">
        <f t="shared" ca="1" si="3"/>
        <v>27.499159663865548</v>
      </c>
      <c r="D23" s="447">
        <f t="shared" ca="1" si="4"/>
        <v>3388.7872895154287</v>
      </c>
      <c r="E23" s="447">
        <f t="shared" si="5"/>
        <v>17.784538974229626</v>
      </c>
      <c r="F23" s="447">
        <f t="shared" ca="1" si="6"/>
        <v>791.33846250408908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7824.0988257137442</v>
      </c>
    </row>
    <row r="24" spans="1:17">
      <c r="A24" s="446" t="s">
        <v>187</v>
      </c>
      <c r="B24" s="447">
        <f t="shared" ca="1" si="2"/>
        <v>204.9595110969648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204.9595110969648</v>
      </c>
    </row>
    <row r="25" spans="1:17">
      <c r="A25" s="446" t="s">
        <v>105</v>
      </c>
      <c r="B25" s="447">
        <f t="shared" ca="1" si="2"/>
        <v>728.92507692122172</v>
      </c>
      <c r="C25" s="447">
        <f t="shared" ca="1" si="3"/>
        <v>0</v>
      </c>
      <c r="D25" s="447">
        <f t="shared" si="4"/>
        <v>701.40650566800014</v>
      </c>
      <c r="E25" s="447">
        <f t="shared" si="5"/>
        <v>8.4132337168962259</v>
      </c>
      <c r="F25" s="447">
        <f t="shared" si="6"/>
        <v>3343.2106074466219</v>
      </c>
      <c r="G25" s="447">
        <f t="shared" si="7"/>
        <v>0</v>
      </c>
      <c r="H25" s="447">
        <f t="shared" si="8"/>
        <v>0</v>
      </c>
      <c r="I25" s="447">
        <f t="shared" si="9"/>
        <v>0</v>
      </c>
      <c r="J25" s="447">
        <f t="shared" si="10"/>
        <v>132.55425982303302</v>
      </c>
      <c r="K25" s="447">
        <f t="shared" si="11"/>
        <v>0</v>
      </c>
      <c r="L25" s="447">
        <f t="shared" si="12"/>
        <v>0</v>
      </c>
      <c r="M25" s="447">
        <f t="shared" si="13"/>
        <v>0</v>
      </c>
      <c r="N25" s="447">
        <f t="shared" si="14"/>
        <v>0</v>
      </c>
      <c r="O25" s="447">
        <f t="shared" si="15"/>
        <v>0</v>
      </c>
      <c r="P25" s="448">
        <f t="shared" si="16"/>
        <v>0</v>
      </c>
      <c r="Q25" s="446">
        <f t="shared" ca="1" si="17"/>
        <v>4914.5096835757731</v>
      </c>
    </row>
    <row r="26" spans="1:17">
      <c r="A26" s="446" t="s">
        <v>640</v>
      </c>
      <c r="B26" s="447">
        <f t="shared" ca="1" si="2"/>
        <v>9818.1085305873585</v>
      </c>
      <c r="C26" s="447">
        <f t="shared" ca="1" si="3"/>
        <v>0</v>
      </c>
      <c r="D26" s="447">
        <f t="shared" si="4"/>
        <v>5950.921297244</v>
      </c>
      <c r="E26" s="447">
        <f t="shared" si="5"/>
        <v>112.38473392391322</v>
      </c>
      <c r="F26" s="447">
        <f t="shared" si="6"/>
        <v>6140.1409661518555</v>
      </c>
      <c r="G26" s="447">
        <f t="shared" si="7"/>
        <v>0</v>
      </c>
      <c r="H26" s="447">
        <f t="shared" si="8"/>
        <v>0</v>
      </c>
      <c r="I26" s="447">
        <f t="shared" si="9"/>
        <v>0</v>
      </c>
      <c r="J26" s="447">
        <f t="shared" si="10"/>
        <v>123.7419288351288</v>
      </c>
      <c r="K26" s="447">
        <f t="shared" si="11"/>
        <v>0</v>
      </c>
      <c r="L26" s="447">
        <f t="shared" si="12"/>
        <v>0</v>
      </c>
      <c r="M26" s="447">
        <f t="shared" si="13"/>
        <v>0</v>
      </c>
      <c r="N26" s="447">
        <f t="shared" si="14"/>
        <v>0</v>
      </c>
      <c r="O26" s="447">
        <f t="shared" si="15"/>
        <v>0</v>
      </c>
      <c r="P26" s="448">
        <f t="shared" si="16"/>
        <v>0</v>
      </c>
      <c r="Q26" s="446">
        <f t="shared" ca="1" si="17"/>
        <v>22145.297456742257</v>
      </c>
    </row>
    <row r="27" spans="1:17" s="452" customFormat="1">
      <c r="A27" s="450" t="s">
        <v>560</v>
      </c>
      <c r="B27" s="723">
        <f t="shared" ca="1" si="2"/>
        <v>0.55803063282464838</v>
      </c>
      <c r="C27" s="451">
        <f t="shared" ca="1" si="3"/>
        <v>0</v>
      </c>
      <c r="D27" s="451">
        <f t="shared" si="4"/>
        <v>0.76126683565605313</v>
      </c>
      <c r="E27" s="451">
        <f t="shared" si="5"/>
        <v>54.083987224541268</v>
      </c>
      <c r="F27" s="451">
        <f t="shared" si="6"/>
        <v>0</v>
      </c>
      <c r="G27" s="451">
        <f t="shared" si="7"/>
        <v>17348.549488296361</v>
      </c>
      <c r="H27" s="451">
        <f t="shared" si="8"/>
        <v>2372.3637532552543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19776.316526244635</v>
      </c>
    </row>
    <row r="28" spans="1:17">
      <c r="A28" s="446" t="s">
        <v>550</v>
      </c>
      <c r="B28" s="447">
        <f t="shared" ca="1" si="2"/>
        <v>0.54427486614166176</v>
      </c>
      <c r="C28" s="447">
        <f t="shared" ca="1" si="3"/>
        <v>0</v>
      </c>
      <c r="D28" s="447">
        <f t="shared" si="4"/>
        <v>0</v>
      </c>
      <c r="E28" s="447">
        <f t="shared" si="5"/>
        <v>0</v>
      </c>
      <c r="F28" s="447">
        <f t="shared" si="6"/>
        <v>0</v>
      </c>
      <c r="G28" s="447">
        <f t="shared" si="7"/>
        <v>149.2371624771221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149.78143734326375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72.782851849235968</v>
      </c>
      <c r="C32" s="447">
        <f t="shared" ca="1" si="3"/>
        <v>0</v>
      </c>
      <c r="D32" s="447">
        <f t="shared" si="4"/>
        <v>193.333392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266.11624384923596</v>
      </c>
    </row>
    <row r="33" spans="1:17" s="459" customFormat="1">
      <c r="A33" s="456" t="s">
        <v>554</v>
      </c>
      <c r="B33" s="457">
        <f ca="1">SUM(B22:B32)</f>
        <v>18289.105429787949</v>
      </c>
      <c r="C33" s="457">
        <f t="shared" ref="C33:Q33" ca="1" si="18">SUM(C22:C32)</f>
        <v>27.499159663865548</v>
      </c>
      <c r="D33" s="457">
        <f t="shared" ca="1" si="18"/>
        <v>18026.679148623087</v>
      </c>
      <c r="E33" s="457">
        <f t="shared" si="18"/>
        <v>379.89799083911726</v>
      </c>
      <c r="F33" s="457">
        <f t="shared" ca="1" si="18"/>
        <v>16988.675276665654</v>
      </c>
      <c r="G33" s="457">
        <f t="shared" si="18"/>
        <v>17497.786650773483</v>
      </c>
      <c r="H33" s="457">
        <f t="shared" si="18"/>
        <v>2372.3637532552543</v>
      </c>
      <c r="I33" s="457">
        <f t="shared" si="18"/>
        <v>0</v>
      </c>
      <c r="J33" s="457">
        <f t="shared" si="18"/>
        <v>417.81422104153313</v>
      </c>
      <c r="K33" s="457">
        <f t="shared" si="18"/>
        <v>0</v>
      </c>
      <c r="L33" s="457">
        <f t="shared" ca="1" si="18"/>
        <v>0</v>
      </c>
      <c r="M33" s="457">
        <f t="shared" si="18"/>
        <v>0</v>
      </c>
      <c r="N33" s="457">
        <f t="shared" ca="1" si="18"/>
        <v>0</v>
      </c>
      <c r="O33" s="457">
        <f t="shared" si="18"/>
        <v>0</v>
      </c>
      <c r="P33" s="457">
        <f t="shared" si="18"/>
        <v>0</v>
      </c>
      <c r="Q33" s="457">
        <f t="shared" ca="1" si="18"/>
        <v>73999.821630649938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6629.5807842616841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4788</v>
      </c>
      <c r="C8" s="977">
        <f>'SEAP template'!C76</f>
        <v>81.000000000000014</v>
      </c>
      <c r="D8" s="977">
        <f>'SEAP template'!D76</f>
        <v>95.294117647058826</v>
      </c>
      <c r="E8" s="977">
        <f>'SEAP template'!E76</f>
        <v>0</v>
      </c>
      <c r="F8" s="977">
        <f>'SEAP template'!F76</f>
        <v>0</v>
      </c>
      <c r="G8" s="977">
        <f>'SEAP template'!G76</f>
        <v>0</v>
      </c>
      <c r="H8" s="977">
        <f>'SEAP template'!H76</f>
        <v>0</v>
      </c>
      <c r="I8" s="977">
        <f>'SEAP template'!I76</f>
        <v>0</v>
      </c>
      <c r="J8" s="977">
        <f>'SEAP template'!J76</f>
        <v>5632.9411764705883</v>
      </c>
      <c r="K8" s="977">
        <f>'SEAP template'!K76</f>
        <v>0</v>
      </c>
      <c r="L8" s="977">
        <f>'SEAP template'!L76</f>
        <v>0</v>
      </c>
      <c r="M8" s="977">
        <f>'SEAP template'!M76</f>
        <v>0</v>
      </c>
      <c r="N8" s="977">
        <f>'SEAP template'!N76</f>
        <v>0</v>
      </c>
      <c r="O8" s="977">
        <f>'SEAP template'!O76</f>
        <v>0</v>
      </c>
      <c r="P8" s="978">
        <f>'SEAP template'!Q76</f>
        <v>19.249411764705883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11417.580784261685</v>
      </c>
      <c r="C10" s="981">
        <f>SUM(C4:C9)</f>
        <v>81.000000000000014</v>
      </c>
      <c r="D10" s="981">
        <f t="shared" ref="D10:H10" si="0">SUM(D8:D9)</f>
        <v>95.294117647058826</v>
      </c>
      <c r="E10" s="981">
        <f t="shared" si="0"/>
        <v>0</v>
      </c>
      <c r="F10" s="981">
        <f t="shared" si="0"/>
        <v>0</v>
      </c>
      <c r="G10" s="981">
        <f t="shared" si="0"/>
        <v>0</v>
      </c>
      <c r="H10" s="981">
        <f t="shared" si="0"/>
        <v>0</v>
      </c>
      <c r="I10" s="981">
        <f>SUM(I8:I9)</f>
        <v>0</v>
      </c>
      <c r="J10" s="981">
        <f>SUM(J8:J9)</f>
        <v>5632.9411764705883</v>
      </c>
      <c r="K10" s="981">
        <f t="shared" ref="K10:L10" si="1">SUM(K8:K9)</f>
        <v>0</v>
      </c>
      <c r="L10" s="981">
        <f t="shared" si="1"/>
        <v>0</v>
      </c>
      <c r="M10" s="981">
        <f>SUM(M8:M9)</f>
        <v>0</v>
      </c>
      <c r="N10" s="981">
        <f>SUM(N8:N9)</f>
        <v>0</v>
      </c>
      <c r="O10" s="981">
        <f>SUM(O8:O9)</f>
        <v>0</v>
      </c>
      <c r="P10" s="981">
        <f>SUM(P8:P9)</f>
        <v>19.249411764705883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0.19421863777224624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6839.9999999999991</v>
      </c>
      <c r="C17" s="984">
        <f>'SEAP template'!C87</f>
        <v>115.71428571428572</v>
      </c>
      <c r="D17" s="978">
        <f>'SEAP template'!D87</f>
        <v>136.1344537815126</v>
      </c>
      <c r="E17" s="978">
        <f>'SEAP template'!E87</f>
        <v>0</v>
      </c>
      <c r="F17" s="978">
        <f>'SEAP template'!F87</f>
        <v>0</v>
      </c>
      <c r="G17" s="978">
        <f>'SEAP template'!G87</f>
        <v>0</v>
      </c>
      <c r="H17" s="978">
        <f>'SEAP template'!H87</f>
        <v>0</v>
      </c>
      <c r="I17" s="978">
        <f>'SEAP template'!I87</f>
        <v>0</v>
      </c>
      <c r="J17" s="978">
        <f>'SEAP template'!J87</f>
        <v>8047.0588235294108</v>
      </c>
      <c r="K17" s="978">
        <f>'SEAP template'!K87</f>
        <v>0</v>
      </c>
      <c r="L17" s="978">
        <f>'SEAP template'!L87</f>
        <v>0</v>
      </c>
      <c r="M17" s="978">
        <f>'SEAP template'!M87</f>
        <v>0</v>
      </c>
      <c r="N17" s="978">
        <f>'SEAP template'!N87</f>
        <v>0</v>
      </c>
      <c r="O17" s="978">
        <f>'SEAP template'!O87</f>
        <v>0</v>
      </c>
      <c r="P17" s="978">
        <f>'SEAP template'!Q87</f>
        <v>27.499159663865548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6839.9999999999991</v>
      </c>
      <c r="C20" s="981">
        <f>SUM(C17:C19)</f>
        <v>115.71428571428572</v>
      </c>
      <c r="D20" s="981">
        <f t="shared" ref="D20:H20" si="2">SUM(D17:D19)</f>
        <v>136.1344537815126</v>
      </c>
      <c r="E20" s="981">
        <f t="shared" si="2"/>
        <v>0</v>
      </c>
      <c r="F20" s="981">
        <f t="shared" si="2"/>
        <v>0</v>
      </c>
      <c r="G20" s="981">
        <f t="shared" si="2"/>
        <v>0</v>
      </c>
      <c r="H20" s="981">
        <f t="shared" si="2"/>
        <v>0</v>
      </c>
      <c r="I20" s="981">
        <f>SUM(I17:I19)</f>
        <v>0</v>
      </c>
      <c r="J20" s="981">
        <f>SUM(J17:J19)</f>
        <v>8047.0588235294108</v>
      </c>
      <c r="K20" s="981">
        <f t="shared" ref="K20:L20" si="3">SUM(K17:K19)</f>
        <v>0</v>
      </c>
      <c r="L20" s="981">
        <f t="shared" si="3"/>
        <v>0</v>
      </c>
      <c r="M20" s="981">
        <f>SUM(M17:M19)</f>
        <v>0</v>
      </c>
      <c r="N20" s="981">
        <f>SUM(N17:N19)</f>
        <v>0</v>
      </c>
      <c r="O20" s="981">
        <f>SUM(O17:O19)</f>
        <v>0</v>
      </c>
      <c r="P20" s="981">
        <f>SUM(P17:P19)</f>
        <v>27.499159663865548</v>
      </c>
    </row>
    <row r="22" spans="1:16">
      <c r="A22" s="460" t="s">
        <v>867</v>
      </c>
      <c r="B22" s="729" t="s">
        <v>861</v>
      </c>
      <c r="C22" s="729">
        <f ca="1">'EF ele_warmte'!B22</f>
        <v>3.9534630857888447E-3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0.19421863777224624</v>
      </c>
      <c r="C17" s="496">
        <f ca="1">'EF ele_warmte'!B22</f>
        <v>3.9534630857888447E-3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2022-07-26T12:30:59Z</dcterms:modified>
</cp:coreProperties>
</file>