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F2FECE3-DC8B-4D7D-8A83-E74C6A424D4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<sst xmlns="http://schemas.openxmlformats.org/spreadsheetml/2006/main" count="2497" uniqueCount="945">
  <si>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</si>
  <si>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</si>
  <si>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</si>
  <si>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</si>
  <si>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</si>
  <si>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</si>
  <si>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</si>
  <si>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</si>
  <si>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</si>
  <si>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</si>
  <si>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</si>
  <si>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</si>
  <si>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</si>
  <si>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</si>
  <si>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</si>
  <si>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</si>
  <si>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</si>
  <si>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</si>
  <si>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</si>
  <si>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</si>
  <si>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</si>
  <si>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</si>
  <si>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</si>
  <si>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</si>
  <si>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</si>
  <si>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</si>
  <si>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</si>
  <si>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</si>
  <si>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</si>
  <si>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</si>
  <si>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</si>
  <si>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</si>
  <si>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</si>
  <si>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</si>
  <si>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</si>
  <si>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</si>
  <si>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</si>
  <si>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</si>
  <si>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</si>
  <si>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</si>
  <si>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</si>
  <si>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</si>
  <si>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</si>
  <si>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</si>
  <si>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</si>
  <si>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</si>
  <si>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</si>
  <si>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</si>
  <si>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</si>
  <si>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</si>
  <si>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</si>
  <si>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</si>
  <si>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</si>
  <si>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</si>
  <si>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</si>
  <si>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</si>
  <si>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</si>
  <si>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</si>
  <si>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</si>
  <si>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</si>
  <si>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</si>
  <si>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</si>
  <si>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</si>
  <si>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</si>
  <si>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</si>
  <si>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</si>
  <si>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</si>
  <si>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</si>
  <si>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</si>
  <si>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</si>
  <si>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</si>
  <si>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</si>
  <si>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</si>
  <si>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</si>
  <si>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</si>
  <si>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</si>
  <si>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</si>
  <si>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</si>
  <si>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</si>
  <si>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</si>
  <si>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</si>
  <si>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</si>
  <si>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</si>
  <si>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</si>
  <si>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</si>
  <si>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</si>
  <si>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</si>
  <si>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</si>
  <si>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</si>
  <si>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</si>
  <si>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</si>
  <si>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</si>
  <si>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</si>
  <si>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</si>
  <si>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</si>
  <si>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</si>
  <si>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</si>
  <si>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</si>
  <si>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</si>
  <si>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</si>
  <si>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</si>
  <si>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</si>
  <si>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</si>
  <si>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</si>
  <si>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</si>
  <si>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</si>
  <si>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</si>
  <si>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</si>
  <si>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</si>
  <si>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</si>
  <si>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</si>
  <si>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</si>
  <si>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</si>
  <si>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</si>
  <si>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</si>
  <si>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</si>
  <si>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</si>
  <si>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</si>
  <si>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</si>
  <si>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</si>
  <si>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</si>
  <si>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</si>
  <si>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</si>
  <si>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</si>
  <si>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</si>
  <si>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</si>
  <si>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</si>
  <si>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</si>
  <si>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</si>
  <si>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</si>
  <si>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</si>
  <si>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</si>
  <si>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</si>
  <si>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</si>
  <si>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</si>
  <si>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</si>
  <si>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</si>
  <si>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</si>
  <si>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</si>
  <si>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</si>
  <si>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</si>
  <si>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</si>
  <si>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</si>
  <si>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</si>
  <si>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</si>
  <si>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</si>
  <si>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</si>
  <si>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</si>
  <si>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</si>
  <si>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</si>
  <si>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</si>
  <si>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</si>
  <si>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</si>
  <si>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</si>
  <si>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</si>
  <si>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</si>
  <si>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</si>
  <si>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</si>
  <si>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</si>
  <si>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</si>
  <si>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</si>
  <si>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</si>
  <si>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</si>
  <si>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</si>
  <si>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</si>
  <si>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</si>
  <si>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</si>
  <si>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</si>
  <si>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</si>
  <si>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</si>
  <si>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</si>
  <si>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</si>
  <si>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</si>
  <si>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</si>
  <si>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</si>
  <si>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</si>
  <si>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</si>
  <si>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</si>
  <si>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</si>
  <si>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</si>
  <si>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</si>
  <si>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</si>
  <si>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</si>
  <si>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</si>
  <si>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</si>
  <si>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</si>
  <si>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</si>
  <si>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</si>
  <si>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</si>
  <si>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</si>
  <si>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</si>
  <si>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</si>
  <si>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</si>
  <si>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</si>
  <si>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</si>
  <si>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</si>
  <si>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</si>
  <si>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</si>
  <si>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</si>
  <si>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</si>
  <si>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</si>
  <si>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</si>
  <si>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</si>
  <si>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</si>
  <si>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</si>
  <si>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</si>
  <si>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</si>
  <si>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</si>
  <si>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</si>
  <si>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</si>
  <si>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</si>
  <si>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</si>
  <si>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</si>
  <si>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</si>
  <si>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</si>
  <si>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</si>
  <si>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</si>
  <si>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</si>
  <si>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</si>
  <si>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</si>
  <si>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</si>
  <si>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</si>
  <si>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</si>
  <si>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</si>
  <si>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</si>
  <si>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</si>
  <si>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</si>
  <si>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</si>
  <si>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</si>
  <si>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</si>
  <si>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</si>
  <si>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</si>
  <si>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</si>
  <si>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</si>
  <si>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</si>
  <si>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</si>
  <si>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</si>
  <si>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</si>
  <si>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</si>
  <si>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</si>
  <si>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</si>
  <si>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</si>
  <si>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</si>
  <si>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</si>
  <si>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</si>
  <si>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</si>
  <si>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</si>
  <si>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</si>
  <si>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</si>
  <si>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</si>
  <si>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</si>
  <si>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</si>
  <si>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</si>
  <si>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</si>
  <si>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</si>
  <si>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</si>
  <si>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</si>
  <si>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</si>
  <si>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</si>
  <si>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</si>
  <si>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</si>
  <si>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</si>
  <si>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</si>
  <si>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</si>
  <si>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</si>
  <si>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</si>
  <si>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</si>
  <si>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</si>
  <si>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</si>
  <si>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</si>
  <si>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</si>
  <si>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</si>
  <si>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</si>
  <si>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</si>
  <si>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</si>
  <si>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</si>
  <si>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</si>
  <si>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</si>
  <si>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</si>
  <si>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</si>
  <si>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</si>
  <si>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</si>
  <si>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</si>
  <si>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</si>
  <si>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</si>
  <si>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</si>
  <si>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</si>
  <si>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</si>
  <si>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</si>
  <si>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</si>
  <si>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</si>
  <si>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</si>
  <si>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</si>
  <si>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</si>
  <si>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</si>
  <si>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</si>
  <si>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</si>
  <si>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</si>
  <si>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</si>
  <si>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</si>
  <si>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</si>
  <si>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</si>
  <si>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</si>
  <si>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</si>
  <si>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</si>
  <si>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</si>
  <si>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</si>
  <si>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</si>
  <si>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</si>
  <si>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</si>
  <si>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</si>
  <si>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</si>
  <si>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</si>
  <si>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</si>
  <si>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</si>
  <si>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</si>
  <si>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</si>
  <si>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</si>
  <si>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</si>
  <si>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</si>
  <si>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</si>
  <si>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</si>
  <si>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</si>
  <si>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</si>
  <si>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</si>
  <si>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</si>
  <si>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</si>
  <si>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</si>
  <si>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</si>
  <si>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</si>
  <si>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</si>
  <si>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</si>
  <si>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</si>
  <si>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</si>
  <si>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</si>
  <si>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</si>
  <si>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</si>
  <si>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</si>
  <si>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</si>
  <si>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</si>
  <si>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</si>
  <si>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</si>
  <si>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</si>
  <si>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</si>
  <si>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</si>
  <si>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</si>
  <si>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</si>
  <si>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</si>
  <si>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</si>
  <si>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</si>
  <si>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</si>
  <si>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</si>
  <si>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</si>
  <si>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</si>
  <si>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</si>
  <si>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</si>
  <si>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</si>
  <si>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</si>
  <si>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</si>
  <si>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</si>
  <si>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</si>
  <si>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</si>
  <si>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</si>
  <si>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</si>
  <si>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</si>
  <si>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</si>
  <si>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</si>
  <si>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</si>
  <si>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</si>
  <si>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</si>
  <si>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</si>
  <si>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</si>
  <si>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</si>
  <si>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</si>
  <si>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</si>
  <si>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</si>
  <si>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</si>
  <si>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</si>
  <si>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</si>
  <si>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</si>
  <si>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</si>
  <si>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</si>
  <si>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</si>
  <si>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</si>
  <si>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</si>
  <si>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</si>
  <si>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</si>
  <si>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</si>
  <si>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</si>
  <si>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</si>
  <si>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</si>
  <si>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</si>
  <si>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</si>
  <si>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</si>
  <si>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</si>
  <si>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</si>
  <si>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</si>
  <si>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</si>
  <si>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</si>
  <si>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</si>
  <si>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</si>
  <si>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</si>
  <si>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</si>
  <si>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</si>
  <si>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</si>
  <si>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</si>
  <si>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</si>
  <si>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</si>
  <si>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</si>
  <si>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</si>
  <si>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</si>
  <si>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</si>
  <si>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</si>
  <si>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</si>
  <si>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</si>
  <si>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</si>
  <si>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</si>
  <si>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</si>
  <si>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</si>
  <si>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</si>
  <si>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</si>
  <si>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</si>
  <si>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</si>
  <si>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</si>
  <si>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</si>
  <si>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</si>
  <si>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</si>
  <si>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</si>
  <si>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</si>
  <si>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</si>
  <si>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</si>
  <si>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</si>
  <si>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</si>
  <si>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</si>
  <si>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</si>
  <si>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</si>
  <si>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</si>
  <si>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</si>
  <si>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</si>
  <si>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</si>
  <si>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</si>
  <si>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</si>
  <si>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</si>
  <si>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</si>
  <si>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</si>
  <si>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</si>
  <si>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</si>
  <si>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</si>
  <si>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</si>
  <si>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</si>
  <si>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</si>
  <si>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</si>
  <si>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</si>
  <si>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</si>
  <si>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</si>
  <si>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</si>
  <si>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</si>
  <si>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</si>
  <si>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</si>
  <si>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</si>
  <si>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</si>
  <si>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</si>
  <si>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</si>
  <si>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</si>
  <si>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</si>
  <si>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</si>
  <si>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</si>
  <si>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</si>
  <si>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</si>
  <si>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</si>
  <si>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</si>
  <si>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</si>
  <si>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</si>
  <si>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</si>
  <si>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</si>
  <si>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</si>
  <si>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</si>
  <si>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</si>
  <si>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</si>
  <si>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</si>
  <si>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</si>
  <si>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</si>
  <si>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</si>
  <si>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</si>
  <si>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</si>
  <si>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</si>
  <si>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</si>
  <si>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</si>
  <si>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</si>
  <si>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</si>
  <si>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</si>
  <si>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</si>
  <si>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</si>
  <si>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</si>
  <si>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</si>
  <si>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</si>
  <si>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</si>
  <si>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</si>
  <si>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</si>
  <si>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</si>
  <si>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</si>
  <si>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</si>
  <si>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</si>
  <si>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</si>
  <si>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</si>
  <si>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</si>
  <si>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</si>
  <si>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</si>
  <si>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</si>
  <si>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</si>
  <si>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</si>
  <si>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</si>
  <si>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</si>
  <si>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</si>
  <si>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</si>
  <si>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</si>
  <si>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</si>
  <si>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</si>
  <si>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</si>
  <si>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</si>
  <si>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</si>
  <si>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</si>
  <si>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</si>
  <si>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</si>
  <si>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</si>
  <si>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</si>
  <si>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</si>
  <si>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</si>
  <si>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</si>
  <si>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</si>
  <si>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</si>
  <si>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</si>
  <si>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</si>
  <si>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</si>
  <si>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</si>
  <si>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</si>
  <si>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</si>
  <si>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</si>
  <si>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</si>
  <si>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</si>
  <si>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</si>
  <si>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</si>
  <si>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</si>
  <si>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</si>
  <si>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</si>
  <si>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</si>
  <si>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</si>
  <si>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</si>
  <si>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</si>
  <si>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</si>
  <si>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</si>
  <si>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</si>
  <si>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</si>
  <si>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</si>
  <si>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</si>
  <si>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</si>
  <si>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</si>
  <si>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</si>
  <si>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</si>
  <si>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</si>
  <si>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</si>
  <si>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</si>
  <si>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</si>
  <si>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</si>
  <si>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</si>
  <si>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</si>
  <si>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</si>
  <si>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</si>
  <si>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</si>
  <si>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</si>
  <si>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</si>
  <si>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</si>
  <si>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</si>
  <si>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</si>
  <si>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</si>
  <si>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</si>
  <si>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</si>
  <si>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</si>
  <si>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</si>
  <si>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</si>
  <si>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</si>
  <si>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</si>
  <si>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</si>
  <si>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</si>
  <si>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</si>
  <si>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</si>
  <si>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</si>
  <si>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</si>
  <si>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</si>
  <si>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</si>
  <si>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</si>
  <si>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</si>
  <si>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</si>
  <si>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</si>
  <si>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</si>
  <si>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</si>
  <si>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</si>
  <si>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</si>
  <si>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</si>
  <si>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</si>
  <si>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</si>
  <si>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</si>
  <si>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</si>
  <si>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</si>
  <si>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</si>
  <si>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</si>
  <si>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</si>
  <si>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</si>
  <si>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</si>
  <si>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</si>
  <si>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</si>
  <si>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</si>
  <si>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</si>
  <si>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</si>
  <si>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</si>
  <si>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</si>
  <si>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</si>
  <si>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</si>
  <si>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</si>
  <si>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</si>
  <si>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</si>
  <si>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</si>
  <si>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</si>
  <si>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</si>
  <si>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</si>
  <si>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</si>
  <si>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</si>
  <si>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</si>
  <si>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</si>
  <si>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</si>
  <si>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</si>
  <si>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</si>
  <si>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</si>
  <si>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</si>
  <si>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</si>
  <si>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</si>
  <si>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</si>
  <si>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</si>
  <si>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</si>
  <si>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</si>
  <si>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</si>
  <si>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</si>
  <si>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</si>
  <si>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</si>
  <si>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</si>
  <si>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</si>
  <si>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</si>
  <si>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</si>
  <si>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</si>
  <si>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</si>
  <si>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</si>
  <si>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</si>
  <si>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</si>
  <si>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</si>
  <si>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</si>
  <si>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</si>
  <si>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</si>
  <si>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</si>
  <si>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</si>
  <si>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</si>
  <si>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</si>
  <si>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</si>
  <si>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</si>
  <si>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</si>
  <si>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</si>
  <si>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</si>
  <si>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</si>
  <si>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</si>
  <si>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</si>
  <si>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</si>
  <si>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</si>
  <si>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</si>
  <si>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</si>
  <si>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</si>
  <si>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</si>
  <si>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</si>
  <si>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</si>
  <si>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</si>
  <si>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</si>
  <si>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</si>
  <si>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</si>
  <si>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</si>
  <si>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</si>
  <si>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</si>
  <si>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</si>
  <si>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</si>
  <si>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</si>
  <si>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</si>
  <si>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</si>
  <si>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</si>
  <si>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</si>
  <si>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</si>
  <si>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</si>
  <si>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</si>
  <si>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</si>
  <si>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</si>
  <si>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</si>
  <si>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</si>
  <si>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</si>
  <si>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</si>
  <si>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</si>
  <si>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</si>
  <si>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</si>
  <si>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</si>
  <si>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</si>
  <si>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</si>
  <si>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</si>
  <si>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</si>
  <si>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</si>
  <si>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</si>
  <si>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</si>
  <si>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</si>
  <si>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</si>
  <si>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</si>
  <si>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</si>
  <si>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</si>
  <si>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</si>
  <si>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</si>
  <si>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</si>
  <si>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</si>
  <si>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</si>
  <si>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</si>
  <si>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</si>
  <si>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</si>
  <si>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</si>
  <si>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</si>
  <si>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</si>
  <si>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</si>
  <si>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</si>
  <si>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</si>
  <si>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</si>
  <si>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</si>
  <si>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</si>
  <si>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</si>
  <si>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</si>
  <si>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</si>
  <si>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</si>
  <si>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</si>
  <si>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</si>
  <si>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</si>
  <si>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</si>
  <si>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</si>
  <si>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</si>
  <si>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</si>
  <si>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</si>
  <si>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</si>
  <si>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</si>
  <si>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</si>
  <si>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</si>
  <si>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</si>
  <si>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</si>
  <si>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</si>
  <si>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</si>
  <si>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</si>
  <si>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</si>
  <si>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</si>
  <si>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</si>
  <si>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</si>
  <si>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</si>
  <si>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</si>
  <si>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</si>
  <si>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</si>
  <si>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</si>
  <si>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</si>
  <si>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</si>
  <si>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</si>
  <si>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</si>
  <si>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</si>
  <si>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</si>
  <si>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</si>
  <si>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</si>
  <si>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</si>
  <si>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</si>
  <si>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</si>
  <si>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</si>
  <si>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</si>
  <si>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</si>
  <si>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</si>
  <si>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</si>
  <si>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</si>
  <si>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</si>
  <si>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</si>
  <si>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</si>
  <si>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</si>
  <si>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</si>
  <si>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</si>
  <si>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</si>
  <si>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</si>
  <si>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</si>
  <si>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</si>
  <si>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</si>
  <si>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</si>
  <si>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</si>
  <si>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</si>
  <si>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</si>
  <si>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</si>
  <si>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</si>
  <si>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</si>
  <si>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</si>
  <si>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</si>
  <si>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</si>
  <si>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</si>
  <si>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</si>
  <si>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</si>
  <si>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</si>
  <si>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</si>
  <si>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</si>
  <si>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</si>
  <si>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</si>
  <si>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</si>
  <si>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</si>
  <si>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</si>
  <si>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</si>
  <si>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</si>
  <si>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</si>
  <si>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</si>
  <si>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</si>
  <si>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</si>
  <si>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</si>
  <si>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</si>
  <si>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</si>
  <si>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</si>
  <si>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</si>
  <si>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</si>
  <si>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</si>
  <si>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</si>
  <si>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</si>
  <si>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</si>
  <si>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</si>
  <si>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</si>
  <si>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</si>
  <si>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</si>
  <si>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</si>
  <si>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</si>
  <si>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</si>
  <si>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</si>
  <si>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</si>
  <si>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</si>
  <si>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</si>
  <si>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</si>
  <si>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</si>
  <si>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</si>
  <si>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</si>
  <si>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</si>
  <si>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</si>
  <si>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</si>
  <si>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</si>
  <si>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</si>
  <si>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</si>
  <si>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</si>
  <si>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</si>
  <si>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</si>
  <si>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</si>
  <si>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</si>
  <si>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</si>
  <si>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</si>
  <si>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</si>
  <si>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</si>
  <si>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</si>
  <si>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</si>
  <si>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</si>
  <si>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</si>
  <si>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</si>
  <si>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</si>
  <si>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</si>
  <si>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</si>
  <si>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</si>
  <si>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</si>
  <si>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</si>
  <si>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</si>
  <si>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</si>
  <si>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</si>
  <si>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</si>
  <si>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</si>
  <si>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</si>
  <si>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</si>
  <si>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</si>
  <si>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</si>
  <si>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</si>
  <si>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</si>
  <si>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</si>
  <si>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</si>
  <si>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</si>
  <si>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</si>
  <si>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</si>
  <si>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</si>
  <si>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</si>
  <si>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</si>
  <si>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</si>
  <si>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</si>
  <si>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</si>
  <si>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</si>
  <si>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</si>
  <si>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</si>
  <si>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</si>
  <si>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</si>
  <si>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</si>
  <si>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</si>
  <si>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</si>
  <si>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</si>
  <si>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</si>
  <si>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</si>
  <si>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</si>
  <si>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</si>
  <si>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</si>
  <si>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</si>
  <si>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</si>
  <si>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</si>
  <si>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</si>
  <si>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</si>
  <si>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</si>
  <si>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</si>
  <si>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</si>
  <si>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</si>
  <si>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</si>
  <si>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</si>
  <si>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</si>
  <si>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</si>
  <si>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</si>
  <si>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</si>
  <si>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</si>
  <si>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</si>
  <si>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</si>
  <si>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</si>
  <si>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</si>
  <si>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</si>
  <si>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</si>
  <si>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</si>
  <si>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</si>
  <si>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</si>
  <si>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</si>
  <si>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</si>
  <si>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</si>
  <si>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</si>
  <si>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</si>
  <si>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</si>
  <si>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</si>
  <si>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34022</t>
  </si>
  <si>
    <t>KORTRIJK</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</si>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</sst>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5ECE7D2-D01D-49EE-A39F-A2C94427FA2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34022</v>
      </c>
      <c r="B6" s="384"/>
      <c r="C6" s="385"/>
    </row>
    <row r="7" spans="1:7" s="382" customFormat="1" ht="15.75" customHeight="1">
      <c r="A7" s="386" t="str">
        <f>txtMunicipality</f>
        <v>KORTRIJK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0.20797449460001763</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0.20797449460001763</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32667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3602</v>
      </c>
      <c r="C14" s="327"/>
      <c r="D14" s="327"/>
      <c r="E14" s="327"/>
      <c r="F14" s="327"/>
    </row>
    <row r="15" spans="1:6">
      <c r="A15" s="1258" t="s">
        <v>177</v>
      </c>
      <c r="B15" s="1259">
        <v>40</v>
      </c>
      <c r="C15" s="327"/>
      <c r="D15" s="327"/>
      <c r="E15" s="327"/>
      <c r="F15" s="327"/>
    </row>
    <row r="16" spans="1:6">
      <c r="A16" s="1258" t="s">
        <v>6</v>
      </c>
      <c r="B16" s="1259">
        <v>1004</v>
      </c>
      <c r="C16" s="327"/>
      <c r="D16" s="327"/>
      <c r="E16" s="327"/>
      <c r="F16" s="327"/>
    </row>
    <row r="17" spans="1:6">
      <c r="A17" s="1258" t="s">
        <v>7</v>
      </c>
      <c r="B17" s="1259">
        <v>993</v>
      </c>
      <c r="C17" s="327"/>
      <c r="D17" s="327"/>
      <c r="E17" s="327"/>
      <c r="F17" s="327"/>
    </row>
    <row r="18" spans="1:6">
      <c r="A18" s="1258" t="s">
        <v>8</v>
      </c>
      <c r="B18" s="1259">
        <v>1218</v>
      </c>
      <c r="C18" s="327"/>
      <c r="D18" s="327"/>
      <c r="E18" s="327"/>
      <c r="F18" s="327"/>
    </row>
    <row r="19" spans="1:6">
      <c r="A19" s="1258" t="s">
        <v>9</v>
      </c>
      <c r="B19" s="1259">
        <v>1189</v>
      </c>
      <c r="C19" s="327"/>
      <c r="D19" s="327"/>
      <c r="E19" s="327"/>
      <c r="F19" s="327"/>
    </row>
    <row r="20" spans="1:6">
      <c r="A20" s="1258" t="s">
        <v>10</v>
      </c>
      <c r="B20" s="1259">
        <v>1296</v>
      </c>
      <c r="C20" s="327"/>
      <c r="D20" s="327"/>
      <c r="E20" s="327"/>
      <c r="F20" s="327"/>
    </row>
    <row r="21" spans="1:6">
      <c r="A21" s="1258" t="s">
        <v>11</v>
      </c>
      <c r="B21" s="1259">
        <v>2546</v>
      </c>
      <c r="C21" s="327"/>
      <c r="D21" s="327"/>
      <c r="E21" s="327"/>
      <c r="F21" s="327"/>
    </row>
    <row r="22" spans="1:6">
      <c r="A22" s="1258" t="s">
        <v>12</v>
      </c>
      <c r="B22" s="1259">
        <v>10612</v>
      </c>
      <c r="C22" s="327"/>
      <c r="D22" s="327"/>
      <c r="E22" s="327"/>
      <c r="F22" s="327"/>
    </row>
    <row r="23" spans="1:6">
      <c r="A23" s="1258" t="s">
        <v>13</v>
      </c>
      <c r="B23" s="1259">
        <v>129</v>
      </c>
      <c r="C23" s="327"/>
      <c r="D23" s="327"/>
      <c r="E23" s="327"/>
      <c r="F23" s="327"/>
    </row>
    <row r="24" spans="1:6">
      <c r="A24" s="1258" t="s">
        <v>14</v>
      </c>
      <c r="B24" s="1259">
        <v>7</v>
      </c>
      <c r="C24" s="327"/>
      <c r="D24" s="327"/>
      <c r="E24" s="327"/>
      <c r="F24" s="327"/>
    </row>
    <row r="25" spans="1:6">
      <c r="A25" s="1258" t="s">
        <v>15</v>
      </c>
      <c r="B25" s="1259">
        <v>694</v>
      </c>
      <c r="C25" s="327"/>
      <c r="D25" s="327"/>
      <c r="E25" s="327"/>
      <c r="F25" s="327"/>
    </row>
    <row r="26" spans="1:6">
      <c r="A26" s="1258" t="s">
        <v>16</v>
      </c>
      <c r="B26" s="1259">
        <v>47</v>
      </c>
      <c r="C26" s="327"/>
      <c r="D26" s="327"/>
      <c r="E26" s="327"/>
      <c r="F26" s="327"/>
    </row>
    <row r="27" spans="1:6">
      <c r="A27" s="1258" t="s">
        <v>17</v>
      </c>
      <c r="B27" s="1259">
        <v>10</v>
      </c>
      <c r="C27" s="327"/>
      <c r="D27" s="327"/>
      <c r="E27" s="327"/>
      <c r="F27" s="327"/>
    </row>
    <row r="28" spans="1:6">
      <c r="A28" s="1258" t="s">
        <v>18</v>
      </c>
      <c r="B28" s="1260">
        <v>143502</v>
      </c>
      <c r="C28" s="327"/>
      <c r="D28" s="327"/>
      <c r="E28" s="327"/>
      <c r="F28" s="327"/>
    </row>
    <row r="29" spans="1:6">
      <c r="A29" s="1258" t="s">
        <v>939</v>
      </c>
      <c r="B29" s="1260">
        <v>211</v>
      </c>
      <c r="C29" s="327"/>
      <c r="D29" s="327"/>
      <c r="E29" s="327"/>
      <c r="F29" s="327"/>
    </row>
    <row r="30" spans="1:6">
      <c r="A30" s="1253" t="s">
        <v>940</v>
      </c>
      <c r="B30" s="1261">
        <v>57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5</v>
      </c>
      <c r="D36" s="1259">
        <v>901708.63173164194</v>
      </c>
      <c r="E36" s="1259">
        <v>12</v>
      </c>
      <c r="F36" s="1259">
        <v>1515953.81580256</v>
      </c>
    </row>
    <row r="37" spans="1:6">
      <c r="A37" s="1258" t="s">
        <v>24</v>
      </c>
      <c r="B37" s="1258" t="s">
        <v>27</v>
      </c>
      <c r="C37" s="1259">
        <v>0</v>
      </c>
      <c r="D37" s="1259">
        <v>0</v>
      </c>
      <c r="E37" s="1259">
        <v>0</v>
      </c>
      <c r="F37" s="1259">
        <v>0</v>
      </c>
    </row>
    <row r="38" spans="1:6">
      <c r="A38" s="1258" t="s">
        <v>24</v>
      </c>
      <c r="B38" s="1258" t="s">
        <v>28</v>
      </c>
      <c r="C38" s="1259">
        <v>5</v>
      </c>
      <c r="D38" s="1259">
        <v>366405.90918926802</v>
      </c>
      <c r="E38" s="1259">
        <v>9</v>
      </c>
      <c r="F38" s="1259">
        <v>51544.991250082203</v>
      </c>
    </row>
    <row r="39" spans="1:6">
      <c r="A39" s="1258" t="s">
        <v>29</v>
      </c>
      <c r="B39" s="1258" t="s">
        <v>30</v>
      </c>
      <c r="C39" s="1259">
        <v>24671</v>
      </c>
      <c r="D39" s="1259">
        <v>405153936.16190398</v>
      </c>
      <c r="E39" s="1259">
        <v>31630</v>
      </c>
      <c r="F39" s="1259">
        <v>116887651.02877299</v>
      </c>
    </row>
    <row r="40" spans="1:6">
      <c r="A40" s="1258" t="s">
        <v>29</v>
      </c>
      <c r="B40" s="1258" t="s">
        <v>28</v>
      </c>
      <c r="C40" s="1259">
        <v>0</v>
      </c>
      <c r="D40" s="1259">
        <v>0</v>
      </c>
      <c r="E40" s="1259">
        <v>2</v>
      </c>
      <c r="F40" s="1259">
        <v>21386.973359819502</v>
      </c>
    </row>
    <row r="41" spans="1:6">
      <c r="A41" s="1258" t="s">
        <v>31</v>
      </c>
      <c r="B41" s="1258" t="s">
        <v>32</v>
      </c>
      <c r="C41" s="1259">
        <v>392</v>
      </c>
      <c r="D41" s="1259">
        <v>10711710.7555252</v>
      </c>
      <c r="E41" s="1259">
        <v>737</v>
      </c>
      <c r="F41" s="1259">
        <v>15064436.195761699</v>
      </c>
    </row>
    <row r="42" spans="1:6">
      <c r="A42" s="1258" t="s">
        <v>31</v>
      </c>
      <c r="B42" s="1258" t="s">
        <v>33</v>
      </c>
      <c r="C42" s="1259">
        <v>0</v>
      </c>
      <c r="D42" s="1259">
        <v>0</v>
      </c>
      <c r="E42" s="1259">
        <v>0</v>
      </c>
      <c r="F42" s="1259">
        <v>0</v>
      </c>
    </row>
    <row r="43" spans="1:6">
      <c r="A43" s="1258" t="s">
        <v>31</v>
      </c>
      <c r="B43" s="1258" t="s">
        <v>34</v>
      </c>
      <c r="C43" s="1259">
        <v>3</v>
      </c>
      <c r="D43" s="1259">
        <v>129798.100654878</v>
      </c>
      <c r="E43" s="1259">
        <v>6</v>
      </c>
      <c r="F43" s="1259">
        <v>315328.10203457001</v>
      </c>
    </row>
    <row r="44" spans="1:6">
      <c r="A44" s="1258" t="s">
        <v>31</v>
      </c>
      <c r="B44" s="1258" t="s">
        <v>35</v>
      </c>
      <c r="C44" s="1259">
        <v>13</v>
      </c>
      <c r="D44" s="1259">
        <v>6795799.2951657902</v>
      </c>
      <c r="E44" s="1259">
        <v>67</v>
      </c>
      <c r="F44" s="1259">
        <v>12627447.1929961</v>
      </c>
    </row>
    <row r="45" spans="1:6">
      <c r="A45" s="1258" t="s">
        <v>31</v>
      </c>
      <c r="B45" s="1258" t="s">
        <v>36</v>
      </c>
      <c r="C45" s="1259">
        <v>18</v>
      </c>
      <c r="D45" s="1259">
        <v>842735.13951376197</v>
      </c>
      <c r="E45" s="1259">
        <v>18</v>
      </c>
      <c r="F45" s="1259">
        <v>124743.808297376</v>
      </c>
    </row>
    <row r="46" spans="1:6">
      <c r="A46" s="1258" t="s">
        <v>31</v>
      </c>
      <c r="B46" s="1258" t="s">
        <v>37</v>
      </c>
      <c r="C46" s="1259">
        <v>0</v>
      </c>
      <c r="D46" s="1259">
        <v>0</v>
      </c>
      <c r="E46" s="1259">
        <v>3</v>
      </c>
      <c r="F46" s="1259">
        <v>43283.9480179448</v>
      </c>
    </row>
    <row r="47" spans="1:6">
      <c r="A47" s="1258" t="s">
        <v>31</v>
      </c>
      <c r="B47" s="1258" t="s">
        <v>38</v>
      </c>
      <c r="C47" s="1259">
        <v>35</v>
      </c>
      <c r="D47" s="1259">
        <v>14151616.3280042</v>
      </c>
      <c r="E47" s="1259">
        <v>37</v>
      </c>
      <c r="F47" s="1259">
        <v>11624768.465471899</v>
      </c>
    </row>
    <row r="48" spans="1:6">
      <c r="A48" s="1258" t="s">
        <v>31</v>
      </c>
      <c r="B48" s="1258" t="s">
        <v>28</v>
      </c>
      <c r="C48" s="1259">
        <v>109</v>
      </c>
      <c r="D48" s="1259">
        <v>192157693.75571501</v>
      </c>
      <c r="E48" s="1259">
        <v>133</v>
      </c>
      <c r="F48" s="1259">
        <v>58447625.173831798</v>
      </c>
    </row>
    <row r="49" spans="1:6">
      <c r="A49" s="1258" t="s">
        <v>31</v>
      </c>
      <c r="B49" s="1258" t="s">
        <v>39</v>
      </c>
      <c r="C49" s="1259">
        <v>7</v>
      </c>
      <c r="D49" s="1259">
        <v>843614.38880667696</v>
      </c>
      <c r="E49" s="1259">
        <v>44</v>
      </c>
      <c r="F49" s="1259">
        <v>6076590.92491809</v>
      </c>
    </row>
    <row r="50" spans="1:6">
      <c r="A50" s="1258" t="s">
        <v>31</v>
      </c>
      <c r="B50" s="1258" t="s">
        <v>40</v>
      </c>
      <c r="C50" s="1259">
        <v>70</v>
      </c>
      <c r="D50" s="1259">
        <v>3500555.3616582998</v>
      </c>
      <c r="E50" s="1259">
        <v>98</v>
      </c>
      <c r="F50" s="1259">
        <v>7532504.48913767</v>
      </c>
    </row>
    <row r="51" spans="1:6">
      <c r="A51" s="1258" t="s">
        <v>41</v>
      </c>
      <c r="B51" s="1258" t="s">
        <v>42</v>
      </c>
      <c r="C51" s="1259">
        <v>7</v>
      </c>
      <c r="D51" s="1259">
        <v>189367.053251217</v>
      </c>
      <c r="E51" s="1259">
        <v>114</v>
      </c>
      <c r="F51" s="1259">
        <v>1800966.5491883999</v>
      </c>
    </row>
    <row r="52" spans="1:6">
      <c r="A52" s="1258" t="s">
        <v>41</v>
      </c>
      <c r="B52" s="1258" t="s">
        <v>28</v>
      </c>
      <c r="C52" s="1259">
        <v>10</v>
      </c>
      <c r="D52" s="1259">
        <v>638474.97805755003</v>
      </c>
      <c r="E52" s="1259">
        <v>18</v>
      </c>
      <c r="F52" s="1259">
        <v>593712.71522557898</v>
      </c>
    </row>
    <row r="53" spans="1:6">
      <c r="A53" s="1258" t="s">
        <v>43</v>
      </c>
      <c r="B53" s="1258" t="s">
        <v>44</v>
      </c>
      <c r="C53" s="1259">
        <v>807</v>
      </c>
      <c r="D53" s="1259">
        <v>41218105.6268204</v>
      </c>
      <c r="E53" s="1259">
        <v>1236</v>
      </c>
      <c r="F53" s="1259">
        <v>7264893.0114978896</v>
      </c>
    </row>
    <row r="54" spans="1:6">
      <c r="A54" s="1258" t="s">
        <v>45</v>
      </c>
      <c r="B54" s="1258" t="s">
        <v>46</v>
      </c>
      <c r="C54" s="1259">
        <v>0</v>
      </c>
      <c r="D54" s="1259">
        <v>0</v>
      </c>
      <c r="E54" s="1259">
        <v>3</v>
      </c>
      <c r="F54" s="1259">
        <v>6717493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312</v>
      </c>
      <c r="D57" s="1259">
        <v>30788901.054334398</v>
      </c>
      <c r="E57" s="1259">
        <v>515</v>
      </c>
      <c r="F57" s="1259">
        <v>18074381.083900802</v>
      </c>
    </row>
    <row r="58" spans="1:6">
      <c r="A58" s="1258" t="s">
        <v>48</v>
      </c>
      <c r="B58" s="1258" t="s">
        <v>50</v>
      </c>
      <c r="C58" s="1259">
        <v>227</v>
      </c>
      <c r="D58" s="1259">
        <v>36586960.964479797</v>
      </c>
      <c r="E58" s="1259">
        <v>437</v>
      </c>
      <c r="F58" s="1259">
        <v>27073525.260226302</v>
      </c>
    </row>
    <row r="59" spans="1:6">
      <c r="A59" s="1258" t="s">
        <v>48</v>
      </c>
      <c r="B59" s="1258" t="s">
        <v>51</v>
      </c>
      <c r="C59" s="1259">
        <v>763</v>
      </c>
      <c r="D59" s="1259">
        <v>46276784.615573801</v>
      </c>
      <c r="E59" s="1259">
        <v>1428</v>
      </c>
      <c r="F59" s="1259">
        <v>45138618.832321599</v>
      </c>
    </row>
    <row r="60" spans="1:6">
      <c r="A60" s="1258" t="s">
        <v>48</v>
      </c>
      <c r="B60" s="1258" t="s">
        <v>52</v>
      </c>
      <c r="C60" s="1259">
        <v>389</v>
      </c>
      <c r="D60" s="1259">
        <v>26190418.049548201</v>
      </c>
      <c r="E60" s="1259">
        <v>461</v>
      </c>
      <c r="F60" s="1259">
        <v>16931053.262343001</v>
      </c>
    </row>
    <row r="61" spans="1:6">
      <c r="A61" s="1258" t="s">
        <v>48</v>
      </c>
      <c r="B61" s="1258" t="s">
        <v>53</v>
      </c>
      <c r="C61" s="1259">
        <v>1238</v>
      </c>
      <c r="D61" s="1259">
        <v>65257595.777004801</v>
      </c>
      <c r="E61" s="1259">
        <v>2559</v>
      </c>
      <c r="F61" s="1259">
        <v>49370997.727508701</v>
      </c>
    </row>
    <row r="62" spans="1:6">
      <c r="A62" s="1258" t="s">
        <v>48</v>
      </c>
      <c r="B62" s="1258" t="s">
        <v>54</v>
      </c>
      <c r="C62" s="1259">
        <v>96</v>
      </c>
      <c r="D62" s="1259">
        <v>16237956.007133299</v>
      </c>
      <c r="E62" s="1259">
        <v>108</v>
      </c>
      <c r="F62" s="1259">
        <v>7452609.4948084503</v>
      </c>
    </row>
    <row r="63" spans="1:6">
      <c r="A63" s="1258" t="s">
        <v>48</v>
      </c>
      <c r="B63" s="1258" t="s">
        <v>28</v>
      </c>
      <c r="C63" s="1259">
        <v>278</v>
      </c>
      <c r="D63" s="1259">
        <v>15475774.9763165</v>
      </c>
      <c r="E63" s="1259">
        <v>291</v>
      </c>
      <c r="F63" s="1259">
        <v>14728132.9395434</v>
      </c>
    </row>
    <row r="64" spans="1:6">
      <c r="A64" s="1258" t="s">
        <v>55</v>
      </c>
      <c r="B64" s="1258" t="s">
        <v>56</v>
      </c>
      <c r="C64" s="1259">
        <v>0</v>
      </c>
      <c r="D64" s="1259">
        <v>0</v>
      </c>
      <c r="E64" s="1259">
        <v>0</v>
      </c>
      <c r="F64" s="1259">
        <v>0</v>
      </c>
    </row>
    <row r="65" spans="1:6">
      <c r="A65" s="1258" t="s">
        <v>55</v>
      </c>
      <c r="B65" s="1258" t="s">
        <v>28</v>
      </c>
      <c r="C65" s="1259">
        <v>6</v>
      </c>
      <c r="D65" s="1259">
        <v>190036.138855103</v>
      </c>
      <c r="E65" s="1259">
        <v>11</v>
      </c>
      <c r="F65" s="1259">
        <v>127089.99843238101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15</v>
      </c>
      <c r="D68" s="1261">
        <v>355445.861445171</v>
      </c>
      <c r="E68" s="1261">
        <v>41</v>
      </c>
      <c r="F68" s="1261">
        <v>926012.45155268896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233678031</v>
      </c>
      <c r="E73" s="445"/>
      <c r="F73" s="327"/>
    </row>
    <row r="74" spans="1:6">
      <c r="A74" s="1258" t="s">
        <v>63</v>
      </c>
      <c r="B74" s="1258" t="s">
        <v>724</v>
      </c>
      <c r="C74" s="1271" t="s">
        <v>718</v>
      </c>
      <c r="D74" s="1259">
        <v>28397739.597288422</v>
      </c>
      <c r="E74" s="445"/>
      <c r="F74" s="327"/>
    </row>
    <row r="75" spans="1:6">
      <c r="A75" s="1258" t="s">
        <v>64</v>
      </c>
      <c r="B75" s="1258" t="s">
        <v>723</v>
      </c>
      <c r="C75" s="1271" t="s">
        <v>719</v>
      </c>
      <c r="D75" s="1259">
        <v>90269965</v>
      </c>
      <c r="E75" s="445"/>
      <c r="F75" s="327"/>
    </row>
    <row r="76" spans="1:6">
      <c r="A76" s="1258" t="s">
        <v>64</v>
      </c>
      <c r="B76" s="1258" t="s">
        <v>724</v>
      </c>
      <c r="C76" s="1271" t="s">
        <v>720</v>
      </c>
      <c r="D76" s="1259">
        <v>2526257.5972884232</v>
      </c>
      <c r="E76" s="445"/>
      <c r="F76" s="327"/>
    </row>
    <row r="77" spans="1:6">
      <c r="A77" s="1258" t="s">
        <v>65</v>
      </c>
      <c r="B77" s="1258" t="s">
        <v>723</v>
      </c>
      <c r="C77" s="1271" t="s">
        <v>721</v>
      </c>
      <c r="D77" s="1259">
        <v>257421319</v>
      </c>
      <c r="E77" s="445"/>
      <c r="F77" s="327"/>
    </row>
    <row r="78" spans="1:6">
      <c r="A78" s="1253" t="s">
        <v>65</v>
      </c>
      <c r="B78" s="1253" t="s">
        <v>724</v>
      </c>
      <c r="C78" s="1253" t="s">
        <v>722</v>
      </c>
      <c r="D78" s="1261">
        <v>73255058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3103778.805423154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9932.805633004109</v>
      </c>
      <c r="C90" s="327"/>
      <c r="D90" s="327"/>
      <c r="E90" s="327"/>
      <c r="F90" s="327"/>
    </row>
    <row r="91" spans="1:6">
      <c r="A91" s="1258" t="s">
        <v>67</v>
      </c>
      <c r="B91" s="1259">
        <v>7833.8014582941951</v>
      </c>
      <c r="C91" s="327"/>
      <c r="D91" s="327"/>
      <c r="E91" s="327"/>
      <c r="F91" s="327"/>
    </row>
    <row r="92" spans="1:6">
      <c r="A92" s="1253" t="s">
        <v>68</v>
      </c>
      <c r="B92" s="1254">
        <v>7770.9222948300048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19024</v>
      </c>
      <c r="C97" s="327"/>
      <c r="D97" s="327"/>
      <c r="E97" s="327"/>
      <c r="F97" s="327"/>
    </row>
    <row r="98" spans="1:6">
      <c r="A98" s="1258" t="s">
        <v>71</v>
      </c>
      <c r="B98" s="1259">
        <v>7</v>
      </c>
      <c r="C98" s="327"/>
      <c r="D98" s="327"/>
      <c r="E98" s="327"/>
      <c r="F98" s="327"/>
    </row>
    <row r="99" spans="1:6">
      <c r="A99" s="1258" t="s">
        <v>72</v>
      </c>
      <c r="B99" s="1259">
        <v>196</v>
      </c>
      <c r="C99" s="327"/>
      <c r="D99" s="327"/>
      <c r="E99" s="327"/>
      <c r="F99" s="327"/>
    </row>
    <row r="100" spans="1:6">
      <c r="A100" s="1258" t="s">
        <v>73</v>
      </c>
      <c r="B100" s="1259">
        <v>2575</v>
      </c>
      <c r="C100" s="327"/>
      <c r="D100" s="327"/>
      <c r="E100" s="327"/>
      <c r="F100" s="327"/>
    </row>
    <row r="101" spans="1:6">
      <c r="A101" s="1258" t="s">
        <v>74</v>
      </c>
      <c r="B101" s="1259">
        <v>278</v>
      </c>
      <c r="C101" s="327"/>
      <c r="D101" s="327"/>
      <c r="E101" s="327"/>
      <c r="F101" s="327"/>
    </row>
    <row r="102" spans="1:6">
      <c r="A102" s="1258" t="s">
        <v>75</v>
      </c>
      <c r="B102" s="1259">
        <v>715</v>
      </c>
      <c r="C102" s="327"/>
      <c r="D102" s="327"/>
      <c r="E102" s="327"/>
      <c r="F102" s="327"/>
    </row>
    <row r="103" spans="1:6">
      <c r="A103" s="1258" t="s">
        <v>76</v>
      </c>
      <c r="B103" s="1259">
        <v>618</v>
      </c>
      <c r="C103" s="327"/>
      <c r="D103" s="327"/>
      <c r="E103" s="327"/>
      <c r="F103" s="327"/>
    </row>
    <row r="104" spans="1:6">
      <c r="A104" s="1258" t="s">
        <v>77</v>
      </c>
      <c r="B104" s="1259">
        <v>6763</v>
      </c>
      <c r="C104" s="327"/>
      <c r="D104" s="327"/>
      <c r="E104" s="327"/>
      <c r="F104" s="327"/>
    </row>
    <row r="105" spans="1:6">
      <c r="A105" s="1253" t="s">
        <v>78</v>
      </c>
      <c r="B105" s="1261">
        <v>22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2</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19</v>
      </c>
      <c r="C123" s="1259">
        <v>16</v>
      </c>
      <c r="D123" s="327"/>
      <c r="E123" s="327"/>
      <c r="F123" s="327"/>
    </row>
    <row r="124" spans="1:6">
      <c r="A124" s="1258" t="s">
        <v>88</v>
      </c>
      <c r="B124" s="1259">
        <v>1</v>
      </c>
      <c r="C124" s="1259">
        <v>2</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181</v>
      </c>
      <c r="C129" s="327"/>
      <c r="D129" s="327"/>
      <c r="E129" s="327"/>
      <c r="F129" s="327"/>
    </row>
    <row r="130" spans="1:6">
      <c r="A130" s="1258" t="s">
        <v>284</v>
      </c>
      <c r="B130" s="1259">
        <v>6</v>
      </c>
      <c r="C130" s="327"/>
      <c r="D130" s="327"/>
      <c r="E130" s="327"/>
      <c r="F130" s="327"/>
    </row>
    <row r="131" spans="1:6">
      <c r="A131" s="1258" t="s">
        <v>285</v>
      </c>
      <c r="B131" s="1259">
        <v>6</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432468.36839600821</v>
      </c>
      <c r="C3" s="44" t="s">
        <v>163</v>
      </c>
      <c r="D3" s="44"/>
      <c r="E3" s="157"/>
      <c r="F3" s="44"/>
      <c r="G3" s="44"/>
      <c r="H3" s="44"/>
      <c r="I3" s="44"/>
      <c r="J3" s="44"/>
      <c r="K3" s="97"/>
    </row>
    <row r="4" spans="1:11">
      <c r="A4" s="352" t="s">
        <v>164</v>
      </c>
      <c r="B4" s="50">
        <f>IF(ISERROR('SEAP template'!B78+'SEAP template'!C78),0,'SEAP template'!B78+'SEAP template'!C78)</f>
        <v>26178.779386128306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152.39117647058828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0.20797449460001763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217.70168067226894</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916.07142857142856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6717.4930000000004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6717.4930000000004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0.20797449460001763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1397.0672116541564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116909.03800213282</v>
      </c>
      <c r="C5" s="18">
        <f>IF(ISERROR('Eigen informatie GS &amp; warmtenet'!B57),0,'Eigen informatie GS &amp; warmtenet'!B57)</f>
        <v>0</v>
      </c>
      <c r="D5" s="31">
        <f>(SUM(HH_hh_gas_kWh,HH_rest_gas_kWh)/1000)*0.902</f>
        <v>365448.85041803739</v>
      </c>
      <c r="E5" s="18">
        <f>B32*B41</f>
        <v>4785.9221438729292</v>
      </c>
      <c r="F5" s="18">
        <f>B36*B45</f>
        <v>145908.87121873119</v>
      </c>
      <c r="G5" s="19"/>
      <c r="H5" s="18"/>
      <c r="I5" s="18"/>
      <c r="J5" s="18">
        <f>B35*B44+C35*C44</f>
        <v>2647.4656269255638</v>
      </c>
      <c r="K5" s="18"/>
      <c r="L5" s="18"/>
      <c r="M5" s="18"/>
      <c r="N5" s="18">
        <f>B34*B43+C34*C43</f>
        <v>45126.880428444689</v>
      </c>
      <c r="O5" s="18">
        <f>B52*B53*B54</f>
        <v>311.10333333333335</v>
      </c>
      <c r="P5" s="18">
        <f>B60*B61*B62/1000-B60*B61*B62/1000/B63</f>
        <v>533.86666666666667</v>
      </c>
    </row>
    <row r="6" spans="1:16">
      <c r="A6" s="17" t="s">
        <v>597</v>
      </c>
      <c r="B6" s="731">
        <f>kWh_PV_kleiner_dan_10kW</f>
        <v>7833.8014582941951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124742.83946042701</v>
      </c>
      <c r="C8" s="22">
        <f>C5</f>
        <v>0</v>
      </c>
      <c r="D8" s="22">
        <f>D5</f>
        <v>365448.85041803739</v>
      </c>
      <c r="E8" s="22">
        <f>E5</f>
        <v>4785.9221438729292</v>
      </c>
      <c r="F8" s="22">
        <f>F5</f>
        <v>145908.87121873119</v>
      </c>
      <c r="G8" s="22"/>
      <c r="H8" s="22"/>
      <c r="I8" s="22"/>
      <c r="J8" s="22">
        <f>J5</f>
        <v>2647.4656269255638</v>
      </c>
      <c r="K8" s="22"/>
      <c r="L8" s="22">
        <f>L5</f>
        <v>0</v>
      </c>
      <c r="M8" s="22">
        <f>M5</f>
        <v>0</v>
      </c>
      <c r="N8" s="22">
        <f>N5</f>
        <v>45126.880428444689</v>
      </c>
      <c r="O8" s="22">
        <f>O5</f>
        <v>311.10333333333335</v>
      </c>
      <c r="P8" s="22">
        <f>P5</f>
        <v>533.86666666666667</v>
      </c>
    </row>
    <row r="9" spans="1:16">
      <c r="B9" s="20"/>
      <c r="C9" s="20"/>
      <c r="D9" s="258"/>
      <c r="E9" s="20"/>
      <c r="F9" s="20"/>
      <c r="G9" s="20"/>
      <c r="H9" s="20"/>
      <c r="I9" s="20"/>
      <c r="J9" s="20"/>
      <c r="K9" s="20"/>
      <c r="L9" s="20"/>
      <c r="M9" s="20"/>
      <c r="N9" s="20"/>
      <c r="O9" s="20"/>
      <c r="P9" s="20"/>
    </row>
    <row r="10" spans="1:16">
      <c r="A10" s="25" t="s">
        <v>207</v>
      </c>
      <c r="B10" s="26">
        <f ca="1">'EF ele_warmte'!B12</f>
        <v>0.20797449460001763</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25943.328991753446</v>
      </c>
      <c r="C12" s="24">
        <f ca="1">C10*C8</f>
        <v>0</v>
      </c>
      <c r="D12" s="24">
        <f>D8*D10</f>
        <v>73820.667784443562</v>
      </c>
      <c r="E12" s="24">
        <f>E10*E8</f>
        <v>1086.404326659155</v>
      </c>
      <c r="F12" s="24">
        <f>F10*F8</f>
        <v>38957.668615401228</v>
      </c>
      <c r="G12" s="24"/>
      <c r="H12" s="24"/>
      <c r="I12" s="24"/>
      <c r="J12" s="24">
        <f>J10*J8</f>
        <v>937.20283193164948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32667</v>
      </c>
      <c r="C26" s="37"/>
      <c r="D26" s="228"/>
    </row>
    <row r="27" spans="1:5" s="16" customFormat="1">
      <c r="A27" s="230" t="s">
        <v>623</v>
      </c>
      <c r="B27" s="38">
        <f>SUM(HH_hh_gas_aantal,HH_rest_gas_aantal)</f>
        <v>24671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23437.45</v>
      </c>
      <c r="C31" s="35" t="s">
        <v>104</v>
      </c>
      <c r="D31" s="174"/>
    </row>
    <row r="32" spans="1:5">
      <c r="A32" s="171" t="s">
        <v>72</v>
      </c>
      <c r="B32" s="34">
        <f>IF((B21*($B$26-($B$27-0.05*$B$27)-$B$60))&lt;0,0,B21*($B$26-($B$27-0.05*$B$27)-$B$60))</f>
        <v>226.13113299137345</v>
      </c>
      <c r="C32" s="35" t="s">
        <v>104</v>
      </c>
      <c r="D32" s="174"/>
    </row>
    <row r="33" spans="1:6">
      <c r="A33" s="171" t="s">
        <v>73</v>
      </c>
      <c r="B33" s="34">
        <f>IF((B22*($B$26-($B$27-0.05*$B$27)-$B$60))&lt;0,0,B22*($B$26-($B$27-0.05*$B$27)-$B$60))</f>
        <v>1522.1277405582914</v>
      </c>
      <c r="C33" s="35" t="s">
        <v>104</v>
      </c>
      <c r="D33" s="174"/>
    </row>
    <row r="34" spans="1:6">
      <c r="A34" s="171" t="s">
        <v>74</v>
      </c>
      <c r="B34" s="34">
        <f>IF((B24*($B$26-($B$27-0.05*$B$27)-$B$60))&lt;0,0,B24*($B$26-($B$27-0.05*$B$27)-$B$60))</f>
        <v>386.04367855125111</v>
      </c>
      <c r="C34" s="34">
        <f>B26*C24</f>
        <v>6680.477537965583</v>
      </c>
      <c r="D34" s="233"/>
    </row>
    <row r="35" spans="1:6">
      <c r="A35" s="171" t="s">
        <v>76</v>
      </c>
      <c r="B35" s="34">
        <f>IF((B19*($B$26-($B$27-0.05*$B$27)-$B$60))&lt;0,0,B19*($B$26-($B$27-0.05*$B$27)-$B$60))</f>
        <v>143.51882298598591</v>
      </c>
      <c r="C35" s="34">
        <f>B35/2</f>
        <v>71.759411492992953</v>
      </c>
      <c r="D35" s="233"/>
    </row>
    <row r="36" spans="1:6">
      <c r="A36" s="171" t="s">
        <v>77</v>
      </c>
      <c r="B36" s="34">
        <f>IF((B18*($B$26-($B$27-0.05*$B$27)-$B$60))&lt;0,0,B18*($B$26-($B$27-0.05*$B$27)-$B$60))</f>
        <v>6923.7286249130948</v>
      </c>
      <c r="C36" s="35" t="s">
        <v>104</v>
      </c>
      <c r="D36" s="174"/>
    </row>
    <row r="37" spans="1:6">
      <c r="A37" s="171" t="s">
        <v>78</v>
      </c>
      <c r="B37" s="34">
        <f>B60</f>
        <v>28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199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178769.31860065227</v>
      </c>
      <c r="C5" s="18">
        <f>IF(ISERROR('Eigen informatie GS &amp; warmtenet'!B58),0,'Eigen informatie GS &amp; warmtenet'!B58)</f>
        <v>0</v>
      </c>
      <c r="D5" s="31">
        <f>SUM(D6:D12)</f>
        <v>213606.58108284051</v>
      </c>
      <c r="E5" s="18">
        <f>SUM(E6:E12)</f>
        <v>1498.1394681277256</v>
      </c>
      <c r="F5" s="18">
        <f>SUM(F6:F12)</f>
        <v>38614.98861467895</v>
      </c>
      <c r="G5" s="19"/>
      <c r="H5" s="18"/>
      <c r="I5" s="18"/>
      <c r="J5" s="18">
        <f>SUM(J6:J12)</f>
        <v>0</v>
      </c>
      <c r="K5" s="18"/>
      <c r="L5" s="18"/>
      <c r="M5" s="18"/>
      <c r="N5" s="18">
        <f>SUM(N6:N12)</f>
        <v>10257.741869530004</v>
      </c>
      <c r="O5" s="18">
        <f>B38*B39*B40</f>
        <v>9.3800000000000008</v>
      </c>
      <c r="P5" s="18">
        <f>B46*B47*B48/1000-B46*B47*B48/1000/B49</f>
        <v>114.4</v>
      </c>
      <c r="R5" s="33"/>
    </row>
    <row r="6" spans="1:18">
      <c r="A6" s="33" t="s">
        <v>53</v>
      </c>
      <c r="B6" s="38">
        <f>B26</f>
        <v>49370.9977275087</v>
      </c>
      <c r="C6" s="34"/>
      <c r="D6" s="38">
        <f>IF(ISERROR(TER_kantoor_gas_kWh/1000),0,TER_kantoor_gas_kWh/1000)*0.902</f>
        <v>58862.351390858326</v>
      </c>
      <c r="E6" s="34">
        <f>$C$26*'E Balans VL '!I12/100/3.6*1000000</f>
        <v>80.649009430400085</v>
      </c>
      <c r="F6" s="34">
        <f>$C$26*('E Balans VL '!L12+'E Balans VL '!N12)/100/3.6*1000000</f>
        <v>5800.2050155654961</v>
      </c>
      <c r="G6" s="35"/>
      <c r="H6" s="34"/>
      <c r="I6" s="34"/>
      <c r="J6" s="34">
        <f>$C$26*('E Balans VL '!D12+'E Balans VL '!E12)/100/3.6*1000000</f>
        <v>0</v>
      </c>
      <c r="K6" s="34"/>
      <c r="L6" s="34"/>
      <c r="M6" s="34"/>
      <c r="N6" s="34">
        <f>$C$26*'E Balans VL '!Y12/100/3.6*1000000</f>
        <v>359.4840094110254</v>
      </c>
      <c r="O6" s="34"/>
      <c r="P6" s="34"/>
      <c r="R6" s="33"/>
    </row>
    <row r="7" spans="1:18">
      <c r="A7" s="33" t="s">
        <v>52</v>
      </c>
      <c r="B7" s="38">
        <f t="shared" ref="B7:B12" si="0">B27</f>
        <v>16931.053262343001</v>
      </c>
      <c r="C7" s="34"/>
      <c r="D7" s="38">
        <f>IF(ISERROR(TER_horeca_gas_kWh/1000),0,TER_horeca_gas_kWh/1000)*0.902</f>
        <v>23623.757080692478</v>
      </c>
      <c r="E7" s="34">
        <f>$C$27*'E Balans VL '!I9/100/3.6*1000000</f>
        <v>875.96099557421508</v>
      </c>
      <c r="F7" s="34">
        <f>$C$27*('E Balans VL '!L9+'E Balans VL '!N9)/100/3.6*1000000</f>
        <v>3852.0772450465479</v>
      </c>
      <c r="G7" s="35"/>
      <c r="H7" s="34"/>
      <c r="I7" s="34"/>
      <c r="J7" s="34">
        <f>$C$27*('E Balans VL '!D9+'E Balans VL '!E9)/100/3.6*1000000</f>
        <v>0</v>
      </c>
      <c r="K7" s="34"/>
      <c r="L7" s="34"/>
      <c r="M7" s="34"/>
      <c r="N7" s="34">
        <f>$C$27*'E Balans VL '!Y9/100/3.6*1000000</f>
        <v>1.7825439852920864</v>
      </c>
      <c r="O7" s="34"/>
      <c r="P7" s="34"/>
      <c r="R7" s="33"/>
    </row>
    <row r="8" spans="1:18">
      <c r="A8" s="6" t="s">
        <v>51</v>
      </c>
      <c r="B8" s="38">
        <f t="shared" si="0"/>
        <v>45138.618832321597</v>
      </c>
      <c r="C8" s="34"/>
      <c r="D8" s="38">
        <f>IF(ISERROR(TER_handel_gas_kWh/1000),0,TER_handel_gas_kWh/1000)*0.902</f>
        <v>41741.659723247569</v>
      </c>
      <c r="E8" s="34">
        <f>$C$28*'E Balans VL '!I13/100/3.6*1000000</f>
        <v>237.10169996226466</v>
      </c>
      <c r="F8" s="34">
        <f>$C$28*('E Balans VL '!L13+'E Balans VL '!N13)/100/3.6*1000000</f>
        <v>8510.1413594997666</v>
      </c>
      <c r="G8" s="35"/>
      <c r="H8" s="34"/>
      <c r="I8" s="34"/>
      <c r="J8" s="34">
        <f>$C$28*('E Balans VL '!D13+'E Balans VL '!E13)/100/3.6*1000000</f>
        <v>0</v>
      </c>
      <c r="K8" s="34"/>
      <c r="L8" s="34"/>
      <c r="M8" s="34"/>
      <c r="N8" s="34">
        <f>$C$28*'E Balans VL '!Y13/100/3.6*1000000</f>
        <v>223.77669264594556</v>
      </c>
      <c r="O8" s="34"/>
      <c r="P8" s="34"/>
      <c r="R8" s="33"/>
    </row>
    <row r="9" spans="1:18">
      <c r="A9" s="33" t="s">
        <v>50</v>
      </c>
      <c r="B9" s="38">
        <f t="shared" si="0"/>
        <v>27073.525260226303</v>
      </c>
      <c r="C9" s="34"/>
      <c r="D9" s="38">
        <f>IF(ISERROR(TER_gezond_gas_kWh/1000),0,TER_gezond_gas_kWh/1000)*0.902</f>
        <v>33001.438789960775</v>
      </c>
      <c r="E9" s="34">
        <f>$C$29*'E Balans VL '!I10/100/3.6*1000000</f>
        <v>24.034345835552642</v>
      </c>
      <c r="F9" s="34">
        <f>$C$29*('E Balans VL '!L10+'E Balans VL '!N10)/100/3.6*1000000</f>
        <v>8414.8633179272128</v>
      </c>
      <c r="G9" s="35"/>
      <c r="H9" s="34"/>
      <c r="I9" s="34"/>
      <c r="J9" s="34">
        <f>$C$29*('E Balans VL '!D10+'E Balans VL '!E10)/100/3.6*1000000</f>
        <v>0</v>
      </c>
      <c r="K9" s="34"/>
      <c r="L9" s="34"/>
      <c r="M9" s="34"/>
      <c r="N9" s="34">
        <f>$C$29*'E Balans VL '!Y10/100/3.6*1000000</f>
        <v>208.98032236646728</v>
      </c>
      <c r="O9" s="34"/>
      <c r="P9" s="34"/>
      <c r="R9" s="33"/>
    </row>
    <row r="10" spans="1:18">
      <c r="A10" s="33" t="s">
        <v>49</v>
      </c>
      <c r="B10" s="38">
        <f t="shared" si="0"/>
        <v>18074.3810839008</v>
      </c>
      <c r="C10" s="34"/>
      <c r="D10" s="38">
        <f>IF(ISERROR(TER_ander_gas_kWh/1000),0,TER_ander_gas_kWh/1000)*0.902</f>
        <v>27771.588751009629</v>
      </c>
      <c r="E10" s="34">
        <f>$C$30*'E Balans VL '!I14/100/3.6*1000000</f>
        <v>147.4225125550914</v>
      </c>
      <c r="F10" s="34">
        <f>$C$30*('E Balans VL '!L14+'E Balans VL '!N14)/100/3.6*1000000</f>
        <v>5268.3465146888611</v>
      </c>
      <c r="G10" s="35"/>
      <c r="H10" s="34"/>
      <c r="I10" s="34"/>
      <c r="J10" s="34">
        <f>$C$30*('E Balans VL '!D14+'E Balans VL '!E14)/100/3.6*1000000</f>
        <v>0</v>
      </c>
      <c r="K10" s="34"/>
      <c r="L10" s="34"/>
      <c r="M10" s="34"/>
      <c r="N10" s="34">
        <f>$C$30*'E Balans VL '!Y14/100/3.6*1000000</f>
        <v>8584.5253235744931</v>
      </c>
      <c r="O10" s="34"/>
      <c r="P10" s="34"/>
      <c r="R10" s="33"/>
    </row>
    <row r="11" spans="1:18">
      <c r="A11" s="33" t="s">
        <v>54</v>
      </c>
      <c r="B11" s="38">
        <f t="shared" si="0"/>
        <v>7452.6094948084501</v>
      </c>
      <c r="C11" s="34"/>
      <c r="D11" s="38">
        <f>IF(ISERROR(TER_onderwijs_gas_kWh/1000),0,TER_onderwijs_gas_kWh/1000)*0.902</f>
        <v>14646.636318434237</v>
      </c>
      <c r="E11" s="34">
        <f>$C$31*'E Balans VL '!I11/100/3.6*1000000</f>
        <v>6.2174613152362941</v>
      </c>
      <c r="F11" s="34">
        <f>$C$31*('E Balans VL '!L11+'E Balans VL '!N11)/100/3.6*1000000</f>
        <v>3899.9607233624833</v>
      </c>
      <c r="G11" s="35"/>
      <c r="H11" s="34"/>
      <c r="I11" s="34"/>
      <c r="J11" s="34">
        <f>$C$31*('E Balans VL '!D11+'E Balans VL '!E11)/100/3.6*1000000</f>
        <v>0</v>
      </c>
      <c r="K11" s="34"/>
      <c r="L11" s="34"/>
      <c r="M11" s="34"/>
      <c r="N11" s="34">
        <f>$C$31*'E Balans VL '!Y11/100/3.6*1000000</f>
        <v>32.812222209703329</v>
      </c>
      <c r="O11" s="34"/>
      <c r="P11" s="34"/>
      <c r="R11" s="33"/>
    </row>
    <row r="12" spans="1:18">
      <c r="A12" s="33" t="s">
        <v>249</v>
      </c>
      <c r="B12" s="38">
        <f t="shared" si="0"/>
        <v>14728.1329395434</v>
      </c>
      <c r="C12" s="34"/>
      <c r="D12" s="38">
        <f>IF(ISERROR(TER_rest_gas_kWh/1000),0,TER_rest_gas_kWh/1000)*0.902</f>
        <v>13959.149028637485</v>
      </c>
      <c r="E12" s="34">
        <f>$C$32*'E Balans VL '!I8/100/3.6*1000000</f>
        <v>126.7534434549657</v>
      </c>
      <c r="F12" s="34">
        <f>$C$32*('E Balans VL '!L8+'E Balans VL '!N8)/100/3.6*1000000</f>
        <v>2869.3944385885779</v>
      </c>
      <c r="G12" s="35"/>
      <c r="H12" s="34"/>
      <c r="I12" s="34"/>
      <c r="J12" s="34">
        <f>$C$32*('E Balans VL '!D8+'E Balans VL '!E8)/100/3.6*1000000</f>
        <v>0</v>
      </c>
      <c r="K12" s="34"/>
      <c r="L12" s="34"/>
      <c r="M12" s="34"/>
      <c r="N12" s="34">
        <f>$C$32*'E Balans VL '!Y8/100/3.6*1000000</f>
        <v>846.38075533707661</v>
      </c>
      <c r="O12" s="34"/>
      <c r="P12" s="34"/>
      <c r="R12" s="33"/>
    </row>
    <row r="13" spans="1:18">
      <c r="A13" s="17" t="s">
        <v>488</v>
      </c>
      <c r="B13" s="246">
        <f ca="1">'lokale energieproductie'!N38+'lokale energieproductie'!N31</f>
        <v>641.25</v>
      </c>
      <c r="C13" s="246">
        <f ca="1">'lokale energieproductie'!O38+'lokale energieproductie'!O31</f>
        <v>916.07142857142856</v>
      </c>
      <c r="D13" s="305">
        <f ca="1">('lokale energieproductie'!P31+'lokale energieproductie'!P38)*(-1)</f>
        <v>-1832.1428571428573</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179410.56860065227</v>
      </c>
      <c r="C16" s="22">
        <f t="shared" ca="1" si="1"/>
        <v>916.07142857142856</v>
      </c>
      <c r="D16" s="22">
        <f t="shared" ca="1" si="1"/>
        <v>211774.43822569764</v>
      </c>
      <c r="E16" s="22">
        <f t="shared" si="1"/>
        <v>1498.1394681277256</v>
      </c>
      <c r="F16" s="22">
        <f t="shared" ca="1" si="1"/>
        <v>38614.98861467895</v>
      </c>
      <c r="G16" s="22">
        <f t="shared" si="1"/>
        <v>0</v>
      </c>
      <c r="H16" s="22">
        <f t="shared" si="1"/>
        <v>0</v>
      </c>
      <c r="I16" s="22">
        <f t="shared" si="1"/>
        <v>0</v>
      </c>
      <c r="J16" s="22">
        <f t="shared" si="1"/>
        <v>0</v>
      </c>
      <c r="K16" s="22">
        <f t="shared" si="1"/>
        <v>0</v>
      </c>
      <c r="L16" s="22">
        <f t="shared" ca="1" si="1"/>
        <v>0</v>
      </c>
      <c r="M16" s="22">
        <f t="shared" si="1"/>
        <v>0</v>
      </c>
      <c r="N16" s="22">
        <f t="shared" ca="1" si="1"/>
        <v>10257.741869530004</v>
      </c>
      <c r="O16" s="22">
        <f>O5</f>
        <v>9.3800000000000008</v>
      </c>
      <c r="P16" s="22">
        <f>P5</f>
        <v>114.4</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0.20797449460001763</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37312.822330622446</v>
      </c>
      <c r="C20" s="24">
        <f t="shared" ref="C20:P20" ca="1" si="2">C16*C18</f>
        <v>217.70168067226894</v>
      </c>
      <c r="D20" s="24">
        <f t="shared" ca="1" si="2"/>
        <v>42778.436521590927</v>
      </c>
      <c r="E20" s="24">
        <f t="shared" si="2"/>
        <v>340.07765926499371</v>
      </c>
      <c r="F20" s="24">
        <f t="shared" ca="1" si="2"/>
        <v>10310.201960119281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49370.9977275087</v>
      </c>
      <c r="C26" s="40">
        <f>IF(ISERROR(B26*3.6/1000000/'E Balans VL '!Z12*100),0,B26*3.6/1000000/'E Balans VL '!Z12*100)</f>
        <v>1.046421079004741</v>
      </c>
      <c r="D26" s="236" t="s">
        <v>660</v>
      </c>
      <c r="F26" s="6"/>
    </row>
    <row r="27" spans="1:18">
      <c r="A27" s="231" t="s">
        <v>52</v>
      </c>
      <c r="B27" s="34">
        <f>IF(ISERROR(TER_horeca_ele_kWh/1000),0,TER_horeca_ele_kWh/1000)</f>
        <v>16931.053262343001</v>
      </c>
      <c r="C27" s="40">
        <f>IF(ISERROR(B27*3.6/1000000/'E Balans VL '!Z9*100),0,B27*3.6/1000000/'E Balans VL '!Z9*100)</f>
        <v>1.3286042126400643</v>
      </c>
      <c r="D27" s="236" t="s">
        <v>660</v>
      </c>
      <c r="F27" s="6"/>
    </row>
    <row r="28" spans="1:18">
      <c r="A28" s="171" t="s">
        <v>51</v>
      </c>
      <c r="B28" s="34">
        <f>IF(ISERROR(TER_handel_ele_kWh/1000),0,TER_handel_ele_kWh/1000)</f>
        <v>45138.618832321597</v>
      </c>
      <c r="C28" s="40">
        <f>IF(ISERROR(B28*3.6/1000000/'E Balans VL '!Z13*100),0,B28*3.6/1000000/'E Balans VL '!Z13*100)</f>
        <v>1.2605611511848895</v>
      </c>
      <c r="D28" s="236" t="s">
        <v>660</v>
      </c>
      <c r="F28" s="6"/>
    </row>
    <row r="29" spans="1:18">
      <c r="A29" s="231" t="s">
        <v>50</v>
      </c>
      <c r="B29" s="34">
        <f>IF(ISERROR(TER_gezond_ele_kWh/1000),0,TER_gezond_ele_kWh/1000)</f>
        <v>27073.525260226303</v>
      </c>
      <c r="C29" s="40">
        <f>IF(ISERROR(B29*3.6/1000000/'E Balans VL '!Z10*100),0,B29*3.6/1000000/'E Balans VL '!Z10*100)</f>
        <v>3.1026077891072661</v>
      </c>
      <c r="D29" s="236" t="s">
        <v>660</v>
      </c>
      <c r="F29" s="6"/>
    </row>
    <row r="30" spans="1:18">
      <c r="A30" s="231" t="s">
        <v>49</v>
      </c>
      <c r="B30" s="34">
        <f>IF(ISERROR(TER_ander_ele_kWh/1000),0,TER_ander_ele_kWh/1000)</f>
        <v>18074.3810839008</v>
      </c>
      <c r="C30" s="40">
        <f>IF(ISERROR(B30*3.6/1000000/'E Balans VL '!Z14*100),0,B30*3.6/1000000/'E Balans VL '!Z14*100)</f>
        <v>1.3477531413014994</v>
      </c>
      <c r="D30" s="236" t="s">
        <v>660</v>
      </c>
      <c r="F30" s="6"/>
    </row>
    <row r="31" spans="1:18">
      <c r="A31" s="231" t="s">
        <v>54</v>
      </c>
      <c r="B31" s="34">
        <f>IF(ISERROR(TER_onderwijs_ele_kWh/1000),0,TER_onderwijs_ele_kWh/1000)</f>
        <v>7452.6094948084501</v>
      </c>
      <c r="C31" s="40">
        <f>IF(ISERROR(B31*3.6/1000000/'E Balans VL '!Z11*100),0,B31*3.6/1000000/'E Balans VL '!Z11*100)</f>
        <v>2.1299722304254027</v>
      </c>
      <c r="D31" s="236" t="s">
        <v>660</v>
      </c>
    </row>
    <row r="32" spans="1:18">
      <c r="A32" s="231" t="s">
        <v>249</v>
      </c>
      <c r="B32" s="34">
        <f>IF(ISERROR(TER_rest_ele_kWh/1000),0,TER_rest_ele_kWh/1000)</f>
        <v>14728.1329395434</v>
      </c>
      <c r="C32" s="40">
        <f>IF(ISERROR(B32*3.6/1000000/'E Balans VL '!Z8*100),0,B32*3.6/1000000/'E Balans VL '!Z8*100)</f>
        <v>0.12135065523461966</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6</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6</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111856.72830046713</v>
      </c>
      <c r="C5" s="18">
        <f>IF(ISERROR('Eigen informatie GS &amp; warmtenet'!B59),0,'Eigen informatie GS &amp; warmtenet'!B59)</f>
        <v>0</v>
      </c>
      <c r="D5" s="31">
        <f>SUM(D6:D15)</f>
        <v>206678.43785878952</v>
      </c>
      <c r="E5" s="18">
        <f>SUM(E6:E15)</f>
        <v>1212.3756859797099</v>
      </c>
      <c r="F5" s="18">
        <f>SUM(F6:F15)</f>
        <v>28161.700128940338</v>
      </c>
      <c r="G5" s="19"/>
      <c r="H5" s="18"/>
      <c r="I5" s="18"/>
      <c r="J5" s="18">
        <f>SUM(J6:J15)</f>
        <v>518.48379097949555</v>
      </c>
      <c r="K5" s="18"/>
      <c r="L5" s="18"/>
      <c r="M5" s="18"/>
      <c r="N5" s="18">
        <f>SUM(N6:N15)</f>
        <v>7431.2895653920177</v>
      </c>
      <c r="O5" s="18">
        <f>B43*B44*B45</f>
        <v>0</v>
      </c>
      <c r="P5" s="18">
        <f>B51*B52*B53/1000-B51*B52*B53/1000/B54</f>
        <v>0</v>
      </c>
      <c r="R5" s="33"/>
    </row>
    <row r="6" spans="1:18">
      <c r="A6" s="6" t="s">
        <v>34</v>
      </c>
      <c r="B6" s="38">
        <f>IF( ISERROR(IND_ijzer_ele_kWh/1000),0,IND_ijzer_ele_kWh/1000)</f>
        <v>315.32810203457001</v>
      </c>
      <c r="C6" s="34"/>
      <c r="D6" s="38">
        <f>IF( ISERROR(IND_ijzer_gas_kWh/1000),0,IND_ijzer_gas_kWh/1000)*0.902</f>
        <v>117.07788679069996</v>
      </c>
      <c r="E6" s="34"/>
      <c r="F6" s="34"/>
      <c r="G6" s="35"/>
      <c r="H6" s="34"/>
      <c r="I6" s="34"/>
      <c r="J6" s="41"/>
      <c r="K6" s="34"/>
      <c r="L6" s="34"/>
      <c r="M6" s="34"/>
      <c r="N6" s="34"/>
      <c r="O6" s="34"/>
      <c r="P6" s="34"/>
      <c r="R6" s="33"/>
    </row>
    <row r="7" spans="1:18">
      <c r="A7" s="6" t="s">
        <v>37</v>
      </c>
      <c r="B7" s="38">
        <f t="shared" ref="B7:B15" si="0">B29</f>
        <v>43.283948017944802</v>
      </c>
      <c r="C7" s="34"/>
      <c r="D7" s="38">
        <f>IF( ISERROR(IND_nonf_gas_kWhh/1000),0,IND_nonf_gas_kWh/1000)*0.902</f>
        <v>0</v>
      </c>
      <c r="E7" s="34">
        <f>C29*'E Balans VL '!I17/100/3.6*1000000</f>
        <v>9.7106147612605859E-2</v>
      </c>
      <c r="F7" s="34">
        <f>C29*'E Balans VL '!L17/100/3.6*1000000+C29*'E Balans VL '!N17/100/3.6*1000000</f>
        <v>10.553206293570126</v>
      </c>
      <c r="G7" s="35"/>
      <c r="H7" s="34"/>
      <c r="I7" s="34"/>
      <c r="J7" s="41">
        <f>C29*'E Balans VL '!D17/100/3.6*1000000+C29*'E Balans VL '!E17/100/3.6*1000000</f>
        <v>15.213853271224179</v>
      </c>
      <c r="K7" s="34"/>
      <c r="L7" s="34"/>
      <c r="M7" s="34"/>
      <c r="N7" s="34">
        <f>C29*'E Balans VL '!Y17/100/3.6*1000000</f>
        <v>0.17496751674789612</v>
      </c>
      <c r="O7" s="34"/>
      <c r="P7" s="34"/>
      <c r="R7" s="33"/>
    </row>
    <row r="8" spans="1:18">
      <c r="A8" s="6" t="s">
        <v>35</v>
      </c>
      <c r="B8" s="38">
        <f t="shared" si="0"/>
        <v>12627.4471929961</v>
      </c>
      <c r="C8" s="34"/>
      <c r="D8" s="38">
        <f>IF( ISERROR(IND_metaal_Gas_kWH/1000),0,IND_metaal_Gas_kWH/1000)*0.902</f>
        <v>6129.810964239543</v>
      </c>
      <c r="E8" s="34">
        <f>C30*'E Balans VL '!I18/100/3.6*1000000</f>
        <v>114.99588596462637</v>
      </c>
      <c r="F8" s="34">
        <f>C30*'E Balans VL '!L18/100/3.6*1000000+C30*'E Balans VL '!N18/100/3.6*1000000</f>
        <v>1665.4643902751627</v>
      </c>
      <c r="G8" s="35"/>
      <c r="H8" s="34"/>
      <c r="I8" s="34"/>
      <c r="J8" s="41">
        <f>C30*'E Balans VL '!D18/100/3.6*1000000+C30*'E Balans VL '!E18/100/3.6*1000000</f>
        <v>207.07179957201356</v>
      </c>
      <c r="K8" s="34"/>
      <c r="L8" s="34"/>
      <c r="M8" s="34"/>
      <c r="N8" s="34">
        <f>C30*'E Balans VL '!Y18/100/3.6*1000000</f>
        <v>43.395519761797807</v>
      </c>
      <c r="O8" s="34"/>
      <c r="P8" s="34"/>
      <c r="R8" s="33"/>
    </row>
    <row r="9" spans="1:18">
      <c r="A9" s="6" t="s">
        <v>32</v>
      </c>
      <c r="B9" s="38">
        <f t="shared" si="0"/>
        <v>15064.436195761698</v>
      </c>
      <c r="C9" s="34"/>
      <c r="D9" s="38">
        <f>IF( ISERROR(IND_andere_gas_kWh/1000),0,IND_andere_gas_kWh/1000)*0.902</f>
        <v>9661.9631014837305</v>
      </c>
      <c r="E9" s="34">
        <f>C31*'E Balans VL '!I19/100/3.6*1000000</f>
        <v>87.074692405289099</v>
      </c>
      <c r="F9" s="34">
        <f>C31*'E Balans VL '!L19/100/3.6*1000000+C31*'E Balans VL '!N19/100/3.6*1000000</f>
        <v>11984.48386571393</v>
      </c>
      <c r="G9" s="35"/>
      <c r="H9" s="34"/>
      <c r="I9" s="34"/>
      <c r="J9" s="41">
        <f>C31*'E Balans VL '!D19/100/3.6*1000000+C31*'E Balans VL '!E19/100/3.6*1000000</f>
        <v>1.4249283331012439</v>
      </c>
      <c r="K9" s="34"/>
      <c r="L9" s="34"/>
      <c r="M9" s="34"/>
      <c r="N9" s="34">
        <f>C31*'E Balans VL '!Y19/100/3.6*1000000</f>
        <v>1141.3590165704545</v>
      </c>
      <c r="O9" s="34"/>
      <c r="P9" s="34"/>
      <c r="R9" s="33"/>
    </row>
    <row r="10" spans="1:18">
      <c r="A10" s="6" t="s">
        <v>40</v>
      </c>
      <c r="B10" s="38">
        <f t="shared" si="0"/>
        <v>7532.5044891376701</v>
      </c>
      <c r="C10" s="34"/>
      <c r="D10" s="38">
        <f>IF( ISERROR(IND_voed_gas_kWh/1000),0,IND_voed_gas_kWh/1000)*0.902</f>
        <v>3157.5009362157866</v>
      </c>
      <c r="E10" s="34">
        <f>C32*'E Balans VL '!I20/100/3.6*1000000</f>
        <v>74.064225299745587</v>
      </c>
      <c r="F10" s="34">
        <f>C32*'E Balans VL '!L20/100/3.6*1000000+C32*'E Balans VL '!N20/100/3.6*1000000</f>
        <v>836.58294262121262</v>
      </c>
      <c r="G10" s="35"/>
      <c r="H10" s="34"/>
      <c r="I10" s="34"/>
      <c r="J10" s="41">
        <f>C32*'E Balans VL '!D20/100/3.6*1000000+C32*'E Balans VL '!E20/100/3.6*1000000</f>
        <v>2.9689019742967341E-2</v>
      </c>
      <c r="K10" s="34"/>
      <c r="L10" s="34"/>
      <c r="M10" s="34"/>
      <c r="N10" s="34">
        <f>C32*'E Balans VL '!Y20/100/3.6*1000000</f>
        <v>111.53867316592276</v>
      </c>
      <c r="O10" s="34"/>
      <c r="P10" s="34"/>
      <c r="R10" s="33"/>
    </row>
    <row r="11" spans="1:18">
      <c r="A11" s="6" t="s">
        <v>39</v>
      </c>
      <c r="B11" s="38">
        <f t="shared" si="0"/>
        <v>6076.5909249180904</v>
      </c>
      <c r="C11" s="34"/>
      <c r="D11" s="38">
        <f>IF( ISERROR(IND_textiel_gas_kWh/1000),0,IND_textiel_gas_kWh/1000)*0.902</f>
        <v>760.94017870362268</v>
      </c>
      <c r="E11" s="34">
        <f>C33*'E Balans VL '!I21/100/3.6*1000000</f>
        <v>11.832533556828846</v>
      </c>
      <c r="F11" s="34">
        <f>C33*'E Balans VL '!L21/100/3.6*1000000+C33*'E Balans VL '!N21/100/3.6*1000000</f>
        <v>200.42590905868704</v>
      </c>
      <c r="G11" s="35"/>
      <c r="H11" s="34"/>
      <c r="I11" s="34"/>
      <c r="J11" s="41">
        <f>C33*'E Balans VL '!D21/100/3.6*1000000+C33*'E Balans VL '!E21/100/3.6*1000000</f>
        <v>0</v>
      </c>
      <c r="K11" s="34"/>
      <c r="L11" s="34"/>
      <c r="M11" s="34"/>
      <c r="N11" s="34">
        <f>C33*'E Balans VL '!Y21/100/3.6*1000000</f>
        <v>63.030230402874658</v>
      </c>
      <c r="O11" s="34"/>
      <c r="P11" s="34"/>
      <c r="R11" s="33"/>
    </row>
    <row r="12" spans="1:18">
      <c r="A12" s="6" t="s">
        <v>36</v>
      </c>
      <c r="B12" s="38">
        <f t="shared" si="0"/>
        <v>124.74380829737601</v>
      </c>
      <c r="C12" s="34"/>
      <c r="D12" s="38">
        <f>IF( ISERROR(IND_min_gas_kWh/1000),0,IND_min_gas_kWh/1000)*0.902</f>
        <v>760.14709584141326</v>
      </c>
      <c r="E12" s="34">
        <f>C34*'E Balans VL '!I22/100/3.6*1000000</f>
        <v>3.1624775213313421</v>
      </c>
      <c r="F12" s="34">
        <f>C34*'E Balans VL '!L22/100/3.6*1000000+C34*'E Balans VL '!N22/100/3.6*1000000</f>
        <v>34.51704656168922</v>
      </c>
      <c r="G12" s="35"/>
      <c r="H12" s="34"/>
      <c r="I12" s="34"/>
      <c r="J12" s="41">
        <f>C34*'E Balans VL '!D22/100/3.6*1000000+C34*'E Balans VL '!E22/100/3.6*1000000</f>
        <v>0.82383317737989004</v>
      </c>
      <c r="K12" s="34"/>
      <c r="L12" s="34"/>
      <c r="M12" s="34"/>
      <c r="N12" s="34">
        <f>C34*'E Balans VL '!Y22/100/3.6*1000000</f>
        <v>0</v>
      </c>
      <c r="O12" s="34"/>
      <c r="P12" s="34"/>
      <c r="R12" s="33"/>
    </row>
    <row r="13" spans="1:18">
      <c r="A13" s="6" t="s">
        <v>38</v>
      </c>
      <c r="B13" s="38">
        <f t="shared" si="0"/>
        <v>11624.7684654719</v>
      </c>
      <c r="C13" s="34"/>
      <c r="D13" s="38">
        <f>IF( ISERROR(IND_papier_gas_kWh/1000),0,IND_papier_gas_kWh/1000)*0.902</f>
        <v>12764.75792785979</v>
      </c>
      <c r="E13" s="34">
        <f>C35*'E Balans VL '!I23/100/3.6*1000000</f>
        <v>395.95646875854123</v>
      </c>
      <c r="F13" s="34">
        <f>C35*'E Balans VL '!L23/100/3.6*1000000+C35*'E Balans VL '!N23/100/3.6*1000000</f>
        <v>1920.1389230528393</v>
      </c>
      <c r="G13" s="35"/>
      <c r="H13" s="34"/>
      <c r="I13" s="34"/>
      <c r="J13" s="41">
        <f>C35*'E Balans VL '!D23/100/3.6*1000000+C35*'E Balans VL '!E23/100/3.6*1000000</f>
        <v>0</v>
      </c>
      <c r="K13" s="34"/>
      <c r="L13" s="34"/>
      <c r="M13" s="34"/>
      <c r="N13" s="34">
        <f>C35*'E Balans VL '!Y23/100/3.6*1000000</f>
        <v>4277.6030431704567</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58447.625173831795</v>
      </c>
      <c r="C15" s="34"/>
      <c r="D15" s="38">
        <f>IF( ISERROR(IND_rest_gas_kWh/1000),0,IND_rest_gas_kWh/1000)*0.902</f>
        <v>173326.23976765494</v>
      </c>
      <c r="E15" s="34">
        <f>C37*'E Balans VL '!I15/100/3.6*1000000</f>
        <v>525.1922963257349</v>
      </c>
      <c r="F15" s="34">
        <f>C37*'E Balans VL '!L15/100/3.6*1000000+C37*'E Balans VL '!N15/100/3.6*1000000</f>
        <v>11509.533845363247</v>
      </c>
      <c r="G15" s="35"/>
      <c r="H15" s="34"/>
      <c r="I15" s="34"/>
      <c r="J15" s="41">
        <f>C37*'E Balans VL '!D15/100/3.6*1000000+C37*'E Balans VL '!E15/100/3.6*1000000</f>
        <v>293.91968760603368</v>
      </c>
      <c r="K15" s="34"/>
      <c r="L15" s="34"/>
      <c r="M15" s="34"/>
      <c r="N15" s="34">
        <f>C37*'E Balans VL '!Y15/100/3.6*1000000</f>
        <v>1794.1881148037635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111856.72830046713</v>
      </c>
      <c r="C18" s="22">
        <f>C5+C16</f>
        <v>0</v>
      </c>
      <c r="D18" s="22">
        <f>MAX((D5+D16),0)</f>
        <v>206678.43785878952</v>
      </c>
      <c r="E18" s="22">
        <f>MAX((E5+E16),0)</f>
        <v>1212.3756859797099</v>
      </c>
      <c r="F18" s="22">
        <f>MAX((F5+F16),0)</f>
        <v>28161.700128940338</v>
      </c>
      <c r="G18" s="22"/>
      <c r="H18" s="22"/>
      <c r="I18" s="22"/>
      <c r="J18" s="22">
        <f>MAX((J5+J16),0)</f>
        <v>518.48379097949555</v>
      </c>
      <c r="K18" s="22"/>
      <c r="L18" s="22">
        <f>MAX((L5+L16),0)</f>
        <v>0</v>
      </c>
      <c r="M18" s="22"/>
      <c r="N18" s="22">
        <f>MAX((N5+N16),0)</f>
        <v>7431.2895653920177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0.20797449460001763</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23263.346535901142</v>
      </c>
      <c r="C22" s="24">
        <f ca="1">C18*C20</f>
        <v>0</v>
      </c>
      <c r="D22" s="24">
        <f>D18*D20</f>
        <v>41749.044447475484</v>
      </c>
      <c r="E22" s="24">
        <f>E18*E20</f>
        <v>275.20928071739417</v>
      </c>
      <c r="F22" s="24">
        <f>F18*F20</f>
        <v>7519.1739344270709</v>
      </c>
      <c r="G22" s="24"/>
      <c r="H22" s="24"/>
      <c r="I22" s="24"/>
      <c r="J22" s="24">
        <f>J18*J20</f>
        <v>183.54326200674143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43.283948017944802</v>
      </c>
      <c r="C29" s="40">
        <f>IF(ISERROR(B29*3.6/1000000/'E Balans VL '!Z17*100),0,B29*3.6/1000000/'E Balans VL '!Z17*100)</f>
        <v>4.5250219848593828E-2</v>
      </c>
      <c r="D29" s="236" t="s">
        <v>660</v>
      </c>
    </row>
    <row r="30" spans="1:18">
      <c r="A30" s="171" t="s">
        <v>35</v>
      </c>
      <c r="B30" s="38">
        <f>IF( ISERROR(IND_metaal_ele_kWh/1000),0,IND_metaal_ele_kWh/1000)</f>
        <v>12627.4471929961</v>
      </c>
      <c r="C30" s="40">
        <f>IF(ISERROR(B30*3.6/1000000/'E Balans VL '!Z18*100),0,B30*3.6/1000000/'E Balans VL '!Z18*100)</f>
        <v>0.70263299727531825</v>
      </c>
      <c r="D30" s="236" t="s">
        <v>660</v>
      </c>
    </row>
    <row r="31" spans="1:18">
      <c r="A31" s="6" t="s">
        <v>32</v>
      </c>
      <c r="B31" s="38">
        <f>IF( ISERROR(IND_ander_ele_kWh/1000),0,IND_ander_ele_kWh/1000)</f>
        <v>15064.436195761698</v>
      </c>
      <c r="C31" s="40">
        <f>IF(ISERROR(B31*3.6/1000000/'E Balans VL '!Z19*100),0,B31*3.6/1000000/'E Balans VL '!Z19*100)</f>
        <v>0.70030607497125985</v>
      </c>
      <c r="D31" s="236" t="s">
        <v>660</v>
      </c>
    </row>
    <row r="32" spans="1:18">
      <c r="A32" s="171" t="s">
        <v>40</v>
      </c>
      <c r="B32" s="38">
        <f>IF( ISERROR(IND_voed_ele_kWh/1000),0,IND_voed_ele_kWh/1000)</f>
        <v>7532.5044891376701</v>
      </c>
      <c r="C32" s="40">
        <f>IF(ISERROR(B32*3.6/1000000/'E Balans VL '!Z20*100),0,B32*3.6/1000000/'E Balans VL '!Z20*100)</f>
        <v>0.26625882115394317</v>
      </c>
      <c r="D32" s="236" t="s">
        <v>660</v>
      </c>
    </row>
    <row r="33" spans="1:5">
      <c r="A33" s="171" t="s">
        <v>39</v>
      </c>
      <c r="B33" s="38">
        <f>IF( ISERROR(IND_textiel_ele_kWh/1000),0,IND_textiel_ele_kWh/1000)</f>
        <v>6076.5909249180904</v>
      </c>
      <c r="C33" s="40">
        <f>IF(ISERROR(B33*3.6/1000000/'E Balans VL '!Z21*100),0,B33*3.6/1000000/'E Balans VL '!Z21*100)</f>
        <v>0.82073581021575126</v>
      </c>
      <c r="D33" s="236" t="s">
        <v>660</v>
      </c>
    </row>
    <row r="34" spans="1:5">
      <c r="A34" s="171" t="s">
        <v>36</v>
      </c>
      <c r="B34" s="38">
        <f>IF( ISERROR(IND_min_ele_kWh/1000),0,IND_min_ele_kWh/1000)</f>
        <v>124.74380829737601</v>
      </c>
      <c r="C34" s="40">
        <f>IF(ISERROR(B34*3.6/1000000/'E Balans VL '!Z22*100),0,B34*3.6/1000000/'E Balans VL '!Z22*100)</f>
        <v>2.5069987811219455E-2</v>
      </c>
      <c r="D34" s="236" t="s">
        <v>660</v>
      </c>
    </row>
    <row r="35" spans="1:5">
      <c r="A35" s="171" t="s">
        <v>38</v>
      </c>
      <c r="B35" s="38">
        <f>IF( ISERROR(IND_papier_ele_kWh/1000),0,IND_papier_ele_kWh/1000)</f>
        <v>11624.7684654719</v>
      </c>
      <c r="C35" s="40">
        <f>IF(ISERROR(B35*3.6/1000000/'E Balans VL '!Z22*100),0,B35*3.6/1000000/'E Balans VL '!Z22*100)</f>
        <v>2.3362506541638037</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58447.625173831795</v>
      </c>
      <c r="C37" s="40">
        <f>IF(ISERROR(B37*3.6/1000000/'E Balans VL '!Z15*100),0,B37*3.6/1000000/'E Balans VL '!Z15*100)</f>
        <v>0.44136591026074212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2394.6792644139791</v>
      </c>
      <c r="C5" s="18">
        <f>'Eigen informatie GS &amp; warmtenet'!B60</f>
        <v>0</v>
      </c>
      <c r="D5" s="31">
        <f>IF(ISERROR(SUM(LB_lb_gas_kWh,LB_rest_gas_kWh)/1000),0,SUM(LB_lb_gas_kWh,LB_rest_gas_kWh)/1000)*0.902</f>
        <v>746.71351224050784</v>
      </c>
      <c r="E5" s="18">
        <f>B17*'E Balans VL '!I25/3.6*1000000/100</f>
        <v>23.647893587844536</v>
      </c>
      <c r="F5" s="18">
        <f>B17*('E Balans VL '!L25/3.6*1000000+'E Balans VL '!N25/3.6*1000000)/100</f>
        <v>7989.2836533549453</v>
      </c>
      <c r="G5" s="19"/>
      <c r="H5" s="18"/>
      <c r="I5" s="18"/>
      <c r="J5" s="18">
        <f>('E Balans VL '!D25+'E Balans VL '!E25)/3.6*1000000*landbouw!B17/100</f>
        <v>238.91630691584811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2394.6792644139791</v>
      </c>
      <c r="C8" s="22">
        <f>C5+C6</f>
        <v>0</v>
      </c>
      <c r="D8" s="22">
        <f>MAX((D5+D6),0)</f>
        <v>746.71351224050784</v>
      </c>
      <c r="E8" s="22">
        <f>MAX((E5+E6),0)</f>
        <v>23.647893587844536</v>
      </c>
      <c r="F8" s="22">
        <f>MAX((F5+F6),0)</f>
        <v>7989.2836533549453</v>
      </c>
      <c r="G8" s="22"/>
      <c r="H8" s="22"/>
      <c r="I8" s="22"/>
      <c r="J8" s="22">
        <f>MAX((J5+J6),0)</f>
        <v>238.91630691584811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0.20797449460001763</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498.03220974563931</v>
      </c>
      <c r="C12" s="24">
        <f ca="1">C8*C10</f>
        <v>0</v>
      </c>
      <c r="D12" s="24">
        <f>D8*D10</f>
        <v>150.8361294725826</v>
      </c>
      <c r="E12" s="24">
        <f>E8*E10</f>
        <v>5.3680718444407098</v>
      </c>
      <c r="F12" s="24">
        <f>F8*F10</f>
        <v>2133.1387354457706</v>
      </c>
      <c r="G12" s="24"/>
      <c r="H12" s="24"/>
      <c r="I12" s="24"/>
      <c r="J12" s="24">
        <f>J8*J10</f>
        <v>84.576372648210224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0.32420130665024749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367.03522313702638</v>
      </c>
      <c r="C26" s="246">
        <f>B26*'GWP N2O_CH4'!B5</f>
        <v>7707.7396858775537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112.61271488610797</v>
      </c>
      <c r="C27" s="246">
        <f>B27*'GWP N2O_CH4'!B5</f>
        <v>2364.8670126082675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5.8805125987586395</v>
      </c>
      <c r="C28" s="246">
        <f>B28*'GWP N2O_CH4'!B4</f>
        <v>1822.9589056151783</v>
      </c>
      <c r="D28" s="51"/>
    </row>
    <row r="29" spans="1:4">
      <c r="A29" s="42" t="s">
        <v>266</v>
      </c>
      <c r="B29" s="246">
        <f>B34*'ha_N2O bodem landbouw'!B4</f>
        <v>19.866344204613959</v>
      </c>
      <c r="C29" s="246">
        <f>B29*'GWP N2O_CH4'!B4</f>
        <v>6158.5667034303278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5.363287537429106E-3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8.9386866486032977E-5</v>
      </c>
      <c r="C5" s="433" t="s">
        <v>204</v>
      </c>
      <c r="D5" s="418">
        <f>SUM(D6:D11)</f>
        <v>1.0455069830557818E-4</v>
      </c>
      <c r="E5" s="418">
        <f>SUM(E6:E11)</f>
        <v>7.3204764722531613E-3</v>
      </c>
      <c r="F5" s="431" t="s">
        <v>204</v>
      </c>
      <c r="G5" s="418">
        <f>SUM(G6:G11)</f>
        <v>2.0717096511167159</v>
      </c>
      <c r="H5" s="418">
        <f>SUM(H6:H11)</f>
        <v>0.27250091619198136</v>
      </c>
      <c r="I5" s="433" t="s">
        <v>204</v>
      </c>
      <c r="J5" s="433" t="s">
        <v>204</v>
      </c>
      <c r="K5" s="433" t="s">
        <v>204</v>
      </c>
      <c r="L5" s="433" t="s">
        <v>204</v>
      </c>
      <c r="M5" s="418">
        <f>SUM(M6:M11)</f>
        <v>0.10466403800155931</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3.2809166924242973E-5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3.8052664952293505E-5</v>
      </c>
      <c r="E6" s="421">
        <f>vkm_GW_PW*SUMIFS(TableVerdeelsleutelVkm[LPG],TableVerdeelsleutelVkm[Voertuigtype],"Lichte voertuigen")*SUMIFS(TableECFTransport[EnergieConsumptieFactor (PJ per km)],TableECFTransport[Index],CONCATENATE($A6,"_LPG_LPG"))</f>
        <v>2.4630091560905033E-3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0.38834695145476372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9.8198690275567727E-2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2.1777815448513503E-2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1.6622538245176099E-6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0.27497156742986184</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8.5694799889451191E-6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1.2235392298703995E-2</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1.3233066623933223E-5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2.501404892825664E-5</v>
      </c>
      <c r="E8" s="421">
        <f>vkm_NGW_PW*SUMIFS(TableVerdeelsleutelVkm[LPG],TableVerdeelsleutelVkm[Voertuigtype],"Lichte voertuigen")*SUMIFS(TableECFTransport[EnergieConsumptieFactor (PJ per km)],TableECFTransport[Index],CONCATENATE($A8,"_LPG_LPG"))</f>
        <v>1.5301383746622714E-3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0.22812091393587133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6.1438244514367905E-2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1.2964615787568511E-2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1.4787378898320206E-7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3.1367988799480655E-2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9.2016301940394482E-7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1.3957767668448507E-3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3.7246540787298699E-5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4.1483984425028042E-5</v>
      </c>
      <c r="E10" s="421">
        <f>vkm_SW_PW*SUMIFS(TableVerdeelsleutelVkm[LPG],TableVerdeelsleutelVkm[Voertuigtype],"Lichte voertuigen")*SUMIFS(TableECFTransport[EnergieConsumptieFactor (PJ per km)],TableECFTransport[Index],CONCATENATE($A10,"_LPG_LPG"))</f>
        <v>3.3273289415003864E-3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0.4844717007141609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0.11283173875455309</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2.6725221114998622E-2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4.2879645370572559E-6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0.66443052878257769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2.2753004484281768E-5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2.9565216584929822E-2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24.829685135009161</v>
      </c>
      <c r="C14" s="22"/>
      <c r="D14" s="22">
        <f t="shared" ref="D14:M14" si="0">((D5)*10^9/3600)+D12</f>
        <v>29.041860640438383</v>
      </c>
      <c r="E14" s="22">
        <f t="shared" si="0"/>
        <v>2033.4656867369893</v>
      </c>
      <c r="F14" s="22"/>
      <c r="G14" s="22">
        <f t="shared" si="0"/>
        <v>575474.90308797662</v>
      </c>
      <c r="H14" s="22">
        <f t="shared" si="0"/>
        <v>75694.698942217045</v>
      </c>
      <c r="I14" s="22"/>
      <c r="J14" s="22"/>
      <c r="K14" s="22"/>
      <c r="L14" s="22"/>
      <c r="M14" s="22">
        <f t="shared" si="0"/>
        <v>29073.34388932203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0.20797449460001763</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5.163941217031101</v>
      </c>
      <c r="C18" s="24"/>
      <c r="D18" s="24">
        <f t="shared" ref="D18:M18" si="1">D14*D16</f>
        <v>5.8664558493685535</v>
      </c>
      <c r="E18" s="24">
        <f t="shared" si="1"/>
        <v>461.59671088929656</v>
      </c>
      <c r="F18" s="24"/>
      <c r="G18" s="24">
        <f t="shared" si="1"/>
        <v>153651.79912448977</v>
      </c>
      <c r="H18" s="24">
        <f t="shared" si="1"/>
        <v>18847.980036612043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2.0281346429359246E-4</v>
      </c>
      <c r="C50" s="316">
        <f t="shared" ref="C50:P50" si="2">SUM(C51:C52)</f>
        <v>0</v>
      </c>
      <c r="D50" s="316">
        <f t="shared" si="2"/>
        <v>0</v>
      </c>
      <c r="E50" s="316">
        <f t="shared" si="2"/>
        <v>0</v>
      </c>
      <c r="F50" s="316">
        <f t="shared" si="2"/>
        <v>0</v>
      </c>
      <c r="G50" s="316">
        <f t="shared" si="2"/>
        <v>4.0451546433779878E-2</v>
      </c>
      <c r="H50" s="316">
        <f t="shared" si="2"/>
        <v>0</v>
      </c>
      <c r="I50" s="316">
        <f t="shared" si="2"/>
        <v>0</v>
      </c>
      <c r="J50" s="316">
        <f t="shared" si="2"/>
        <v>0</v>
      </c>
      <c r="K50" s="316">
        <f t="shared" si="2"/>
        <v>0</v>
      </c>
      <c r="L50" s="316">
        <f t="shared" si="2"/>
        <v>0</v>
      </c>
      <c r="M50" s="316">
        <f t="shared" si="2"/>
        <v>1.7879152697397149E-3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2.0281346429359246E-4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4.0451546433779878E-2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1.7879152697397149E-3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56.337073414886795</v>
      </c>
      <c r="C54" s="22">
        <f t="shared" ref="C54:P54" si="3">(C50)*10^9/3600</f>
        <v>0</v>
      </c>
      <c r="D54" s="22">
        <f t="shared" si="3"/>
        <v>0</v>
      </c>
      <c r="E54" s="22">
        <f t="shared" si="3"/>
        <v>0</v>
      </c>
      <c r="F54" s="22">
        <f t="shared" si="3"/>
        <v>0</v>
      </c>
      <c r="G54" s="22">
        <f t="shared" si="3"/>
        <v>11236.540676049966</v>
      </c>
      <c r="H54" s="22">
        <f t="shared" si="3"/>
        <v>0</v>
      </c>
      <c r="I54" s="22">
        <f t="shared" si="3"/>
        <v>0</v>
      </c>
      <c r="J54" s="22">
        <f t="shared" si="3"/>
        <v>0</v>
      </c>
      <c r="K54" s="22">
        <f t="shared" si="3"/>
        <v>0</v>
      </c>
      <c r="L54" s="22">
        <f t="shared" si="3"/>
        <v>0</v>
      </c>
      <c r="M54" s="22">
        <f t="shared" si="3"/>
        <v>496.64313048325414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0.20797449460001763</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11.716674370705171</v>
      </c>
      <c r="C58" s="24">
        <f t="shared" ref="C58:P58" ca="1" si="4">C54*C56</f>
        <v>0</v>
      </c>
      <c r="D58" s="24">
        <f t="shared" si="4"/>
        <v>0</v>
      </c>
      <c r="E58" s="24">
        <f t="shared" si="4"/>
        <v>0</v>
      </c>
      <c r="F58" s="24">
        <f t="shared" si="4"/>
        <v>0</v>
      </c>
      <c r="G58" s="24">
        <f t="shared" si="4"/>
        <v>3000.1563605053411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9932.805633004109</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15604.723753124199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641.25</v>
      </c>
      <c r="C8" s="544">
        <f>B48</f>
        <v>754.41176470588255</v>
      </c>
      <c r="D8" s="931"/>
      <c r="E8" s="931">
        <f>E48</f>
        <v>0</v>
      </c>
      <c r="F8" s="932"/>
      <c r="G8" s="545"/>
      <c r="H8" s="931">
        <f>I48</f>
        <v>0</v>
      </c>
      <c r="I8" s="931">
        <f>G48+F48</f>
        <v>0</v>
      </c>
      <c r="J8" s="931">
        <f>H48+D48+C48</f>
        <v>0</v>
      </c>
      <c r="K8" s="931"/>
      <c r="L8" s="931"/>
      <c r="M8" s="931"/>
      <c r="N8" s="546"/>
      <c r="O8" s="547">
        <f>C8*$C$12+D8*$D$12+E8*$E$12+F8*$F$12+G8*$G$12+H8*$H$12+I8*$I$12+J8*$J$12</f>
        <v>152.39117647058828</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26178.779386128306</v>
      </c>
      <c r="C10" s="556">
        <f t="shared" ref="C10:L10" si="0">SUM(C8:C9)</f>
        <v>754.41176470588255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152.39117647058828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916.07142857142856</v>
      </c>
      <c r="C17" s="568">
        <f>B49</f>
        <v>1077.7310924369749</v>
      </c>
      <c r="D17" s="569"/>
      <c r="E17" s="569">
        <f>E49</f>
        <v>0</v>
      </c>
      <c r="F17" s="570"/>
      <c r="G17" s="571"/>
      <c r="H17" s="568">
        <f>I49</f>
        <v>0</v>
      </c>
      <c r="I17" s="569">
        <f>G49+F49</f>
        <v>0</v>
      </c>
      <c r="J17" s="569">
        <f>H49+D49+C49</f>
        <v>0</v>
      </c>
      <c r="K17" s="569"/>
      <c r="L17" s="569"/>
      <c r="M17" s="569"/>
      <c r="N17" s="938"/>
      <c r="O17" s="572">
        <f>C17*$C$22+E17*$E$22+H17*$H$22+I17*$I$22+J17*$J$22+D17*$D$22+F17*$F$22+G17*$G$22+K17*$K$22+L17*$L$22</f>
        <v>217.70168067226894</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916.07142857142856</v>
      </c>
      <c r="C20" s="555">
        <f>SUM(C17:C19)</f>
        <v>1077.7310924369749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217.70168067226894</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51" hidden="1">
      <c r="A28" s="580"/>
      <c r="B28" s="740">
        <v>34022</v>
      </c>
      <c r="C28" s="740">
        <v>8500</v>
      </c>
      <c r="D28" s="628"/>
      <c r="E28" s="627"/>
      <c r="F28" s="627"/>
      <c r="G28" s="627" t="s">
        <v>942</v>
      </c>
      <c r="H28" s="627" t="s">
        <v>943</v>
      </c>
      <c r="I28" s="627"/>
      <c r="J28" s="739"/>
      <c r="K28" s="739"/>
      <c r="L28" s="627" t="s">
        <v>944</v>
      </c>
      <c r="M28" s="627">
        <v>142.5</v>
      </c>
      <c r="N28" s="627">
        <v>641.25</v>
      </c>
      <c r="O28" s="627">
        <v>916.07142857142856</v>
      </c>
      <c r="P28" s="627">
        <v>1832.1428571428573</v>
      </c>
      <c r="Q28" s="627">
        <v>0</v>
      </c>
      <c r="R28" s="627">
        <v>0</v>
      </c>
      <c r="S28" s="627">
        <v>0</v>
      </c>
      <c r="T28" s="627">
        <v>0</v>
      </c>
      <c r="U28" s="627">
        <v>0</v>
      </c>
      <c r="V28" s="627">
        <v>0</v>
      </c>
      <c r="W28" s="627"/>
      <c r="X28" s="627"/>
      <c r="Y28" s="627">
        <v>1500</v>
      </c>
      <c r="Z28" s="627" t="s">
        <v>50</v>
      </c>
      <c r="AA28" s="629" t="s">
        <v>149</v>
      </c>
    </row>
    <row r="29" spans="1:27" s="563" customFormat="1" hidden="1">
      <c r="A29" s="583" t="s">
        <v>269</v>
      </c>
      <c r="B29" s="584"/>
      <c r="C29" s="584"/>
      <c r="D29" s="584"/>
      <c r="E29" s="584"/>
      <c r="F29" s="584"/>
      <c r="G29" s="584"/>
      <c r="H29" s="584"/>
      <c r="I29" s="584"/>
      <c r="J29" s="584"/>
      <c r="K29" s="584"/>
      <c r="L29" s="585"/>
      <c r="M29" s="585">
        <f>SUM(M28:M28)</f>
        <v>142.5</v>
      </c>
      <c r="N29" s="585">
        <f>SUM(N28:N28)</f>
        <v>641.25</v>
      </c>
      <c r="O29" s="585">
        <f>SUM(O28:O28)</f>
        <v>916.07142857142856</v>
      </c>
      <c r="P29" s="585">
        <f>SUM(P28:P28)</f>
        <v>1832.1428571428573</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142.5</v>
      </c>
      <c r="N31" s="585">
        <f ca="1">SUMIF($AA$28:AE28,"tertiair",N28:N28)</f>
        <v>641.25</v>
      </c>
      <c r="O31" s="585">
        <f ca="1">SUMIF($AA$28:AF28,"tertiair",O28:O28)</f>
        <v>916.07142857142856</v>
      </c>
      <c r="P31" s="585">
        <f ca="1">SUMIF($AA$28:AG28,"tertiair",P28:P28)</f>
        <v>1832.1428571428573</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0.41176470588235298</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754.41176470588255</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1077.7310924369749</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186128.06160065226</v>
      </c>
      <c r="D10" s="639">
        <f ca="1">tertiair!C16</f>
        <v>916.07142857142856</v>
      </c>
      <c r="E10" s="639">
        <f ca="1">tertiair!D16</f>
        <v>211774.43822569764</v>
      </c>
      <c r="F10" s="639">
        <f>tertiair!E16</f>
        <v>1498.1394681277256</v>
      </c>
      <c r="G10" s="639">
        <f ca="1">tertiair!F16</f>
        <v>38614.98861467895</v>
      </c>
      <c r="H10" s="639">
        <f>tertiair!G16</f>
        <v>0</v>
      </c>
      <c r="I10" s="639">
        <f>tertiair!H16</f>
        <v>0</v>
      </c>
      <c r="J10" s="639">
        <f>tertiair!I16</f>
        <v>0</v>
      </c>
      <c r="K10" s="639">
        <f>tertiair!J16</f>
        <v>0</v>
      </c>
      <c r="L10" s="639">
        <f>tertiair!K16</f>
        <v>0</v>
      </c>
      <c r="M10" s="639">
        <f ca="1">tertiair!L16</f>
        <v>0</v>
      </c>
      <c r="N10" s="639">
        <f>tertiair!M16</f>
        <v>0</v>
      </c>
      <c r="O10" s="639">
        <f ca="1">tertiair!N16</f>
        <v>10257.741869530004</v>
      </c>
      <c r="P10" s="639">
        <f>tertiair!O16</f>
        <v>9.3800000000000008</v>
      </c>
      <c r="Q10" s="640">
        <f>tertiair!P16</f>
        <v>114.4</v>
      </c>
      <c r="R10" s="642">
        <f ca="1">SUM(C10:Q10)</f>
        <v>449313.22120725806</v>
      </c>
      <c r="S10" s="68"/>
    </row>
    <row r="11" spans="1:19" s="443" customFormat="1">
      <c r="A11" s="753" t="s">
        <v>214</v>
      </c>
      <c r="B11" s="758"/>
      <c r="C11" s="639">
        <f>huishoudens!B8</f>
        <v>124742.83946042701</v>
      </c>
      <c r="D11" s="639">
        <f>huishoudens!C8</f>
        <v>0</v>
      </c>
      <c r="E11" s="639">
        <f>huishoudens!D8</f>
        <v>365448.85041803739</v>
      </c>
      <c r="F11" s="639">
        <f>huishoudens!E8</f>
        <v>4785.9221438729292</v>
      </c>
      <c r="G11" s="639">
        <f>huishoudens!F8</f>
        <v>145908.87121873119</v>
      </c>
      <c r="H11" s="639">
        <f>huishoudens!G8</f>
        <v>0</v>
      </c>
      <c r="I11" s="639">
        <f>huishoudens!H8</f>
        <v>0</v>
      </c>
      <c r="J11" s="639">
        <f>huishoudens!I8</f>
        <v>0</v>
      </c>
      <c r="K11" s="639">
        <f>huishoudens!J8</f>
        <v>2647.4656269255638</v>
      </c>
      <c r="L11" s="639">
        <f>huishoudens!K8</f>
        <v>0</v>
      </c>
      <c r="M11" s="639">
        <f>huishoudens!L8</f>
        <v>0</v>
      </c>
      <c r="N11" s="639">
        <f>huishoudens!M8</f>
        <v>0</v>
      </c>
      <c r="O11" s="639">
        <f>huishoudens!N8</f>
        <v>45126.880428444689</v>
      </c>
      <c r="P11" s="639">
        <f>huishoudens!O8</f>
        <v>311.10333333333335</v>
      </c>
      <c r="Q11" s="640">
        <f>huishoudens!P8</f>
        <v>533.86666666666667</v>
      </c>
      <c r="R11" s="642">
        <f>SUM(C11:Q11)</f>
        <v>689505.79929643893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111856.72830046713</v>
      </c>
      <c r="D13" s="639">
        <f>industrie!C18</f>
        <v>0</v>
      </c>
      <c r="E13" s="639">
        <f>industrie!D18</f>
        <v>206678.43785878952</v>
      </c>
      <c r="F13" s="639">
        <f>industrie!E18</f>
        <v>1212.3756859797099</v>
      </c>
      <c r="G13" s="639">
        <f>industrie!F18</f>
        <v>28161.700128940338</v>
      </c>
      <c r="H13" s="639">
        <f>industrie!G18</f>
        <v>0</v>
      </c>
      <c r="I13" s="639">
        <f>industrie!H18</f>
        <v>0</v>
      </c>
      <c r="J13" s="639">
        <f>industrie!I18</f>
        <v>0</v>
      </c>
      <c r="K13" s="639">
        <f>industrie!J18</f>
        <v>518.48379097949555</v>
      </c>
      <c r="L13" s="639">
        <f>industrie!K18</f>
        <v>0</v>
      </c>
      <c r="M13" s="639">
        <f>industrie!L18</f>
        <v>0</v>
      </c>
      <c r="N13" s="639">
        <f>industrie!M18</f>
        <v>0</v>
      </c>
      <c r="O13" s="639">
        <f>industrie!N18</f>
        <v>7431.2895653920177</v>
      </c>
      <c r="P13" s="639">
        <f>industrie!O18</f>
        <v>0</v>
      </c>
      <c r="Q13" s="640">
        <f>industrie!P18</f>
        <v>0</v>
      </c>
      <c r="R13" s="642">
        <f>SUM(C13:Q13)</f>
        <v>355859.01533054822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422727.62936154642</v>
      </c>
      <c r="D16" s="672">
        <f t="shared" ref="D16:R16" ca="1" si="0">SUM(D9:D15)</f>
        <v>916.07142857142856</v>
      </c>
      <c r="E16" s="672">
        <f t="shared" ca="1" si="0"/>
        <v>783901.72650252446</v>
      </c>
      <c r="F16" s="672">
        <f t="shared" si="0"/>
        <v>7496.4372979803647</v>
      </c>
      <c r="G16" s="672">
        <f t="shared" ca="1" si="0"/>
        <v>212685.55996235047</v>
      </c>
      <c r="H16" s="672">
        <f t="shared" si="0"/>
        <v>0</v>
      </c>
      <c r="I16" s="672">
        <f t="shared" si="0"/>
        <v>0</v>
      </c>
      <c r="J16" s="672">
        <f t="shared" si="0"/>
        <v>0</v>
      </c>
      <c r="K16" s="672">
        <f t="shared" si="0"/>
        <v>3165.9494179050594</v>
      </c>
      <c r="L16" s="672">
        <f t="shared" si="0"/>
        <v>0</v>
      </c>
      <c r="M16" s="672">
        <f t="shared" ca="1" si="0"/>
        <v>0</v>
      </c>
      <c r="N16" s="672">
        <f t="shared" si="0"/>
        <v>0</v>
      </c>
      <c r="O16" s="672">
        <f t="shared" ca="1" si="0"/>
        <v>62815.911863366717</v>
      </c>
      <c r="P16" s="672">
        <f t="shared" si="0"/>
        <v>320.48333333333335</v>
      </c>
      <c r="Q16" s="672">
        <f t="shared" si="0"/>
        <v>648.26666666666665</v>
      </c>
      <c r="R16" s="672">
        <f t="shared" ca="1" si="0"/>
        <v>1494678.0358342452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56.337073414886795</v>
      </c>
      <c r="D19" s="639">
        <f>transport!C54</f>
        <v>0</v>
      </c>
      <c r="E19" s="639">
        <f>transport!D54</f>
        <v>0</v>
      </c>
      <c r="F19" s="639">
        <f>transport!E54</f>
        <v>0</v>
      </c>
      <c r="G19" s="639">
        <f>transport!F54</f>
        <v>0</v>
      </c>
      <c r="H19" s="639">
        <f>transport!G54</f>
        <v>11236.540676049966</v>
      </c>
      <c r="I19" s="639">
        <f>transport!H54</f>
        <v>0</v>
      </c>
      <c r="J19" s="639">
        <f>transport!I54</f>
        <v>0</v>
      </c>
      <c r="K19" s="639">
        <f>transport!J54</f>
        <v>0</v>
      </c>
      <c r="L19" s="639">
        <f>transport!K54</f>
        <v>0</v>
      </c>
      <c r="M19" s="639">
        <f>transport!L54</f>
        <v>0</v>
      </c>
      <c r="N19" s="639">
        <f>transport!M54</f>
        <v>496.64313048325414</v>
      </c>
      <c r="O19" s="639">
        <f>transport!N54</f>
        <v>0</v>
      </c>
      <c r="P19" s="639">
        <f>transport!O54</f>
        <v>0</v>
      </c>
      <c r="Q19" s="640">
        <f>transport!P54</f>
        <v>0</v>
      </c>
      <c r="R19" s="642">
        <f>SUM(C19:Q19)</f>
        <v>11789.520879948108</v>
      </c>
      <c r="S19" s="68"/>
    </row>
    <row r="20" spans="1:19" s="443" customFormat="1">
      <c r="A20" s="753" t="s">
        <v>296</v>
      </c>
      <c r="B20" s="758"/>
      <c r="C20" s="639">
        <f>transport!B14</f>
        <v>24.829685135009161</v>
      </c>
      <c r="D20" s="639">
        <f>transport!C14</f>
        <v>0</v>
      </c>
      <c r="E20" s="639">
        <f>transport!D14</f>
        <v>29.041860640438383</v>
      </c>
      <c r="F20" s="639">
        <f>transport!E14</f>
        <v>2033.4656867369893</v>
      </c>
      <c r="G20" s="639">
        <f>transport!F14</f>
        <v>0</v>
      </c>
      <c r="H20" s="639">
        <f>transport!G14</f>
        <v>575474.90308797662</v>
      </c>
      <c r="I20" s="639">
        <f>transport!H14</f>
        <v>75694.698942217045</v>
      </c>
      <c r="J20" s="639">
        <f>transport!I14</f>
        <v>0</v>
      </c>
      <c r="K20" s="639">
        <f>transport!J14</f>
        <v>0</v>
      </c>
      <c r="L20" s="639">
        <f>transport!K14</f>
        <v>0</v>
      </c>
      <c r="M20" s="639">
        <f>transport!L14</f>
        <v>0</v>
      </c>
      <c r="N20" s="639">
        <f>transport!M14</f>
        <v>29073.34388932203</v>
      </c>
      <c r="O20" s="639">
        <f>transport!N14</f>
        <v>0</v>
      </c>
      <c r="P20" s="639">
        <f>transport!O14</f>
        <v>0</v>
      </c>
      <c r="Q20" s="640">
        <f>transport!P14</f>
        <v>0</v>
      </c>
      <c r="R20" s="642">
        <f>SUM(C20:Q20)</f>
        <v>682330.2831520281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81.16675854989596</v>
      </c>
      <c r="D22" s="756">
        <f t="shared" ref="D22:R22" si="1">SUM(D18:D21)</f>
        <v>0</v>
      </c>
      <c r="E22" s="756">
        <f t="shared" si="1"/>
        <v>29.041860640438383</v>
      </c>
      <c r="F22" s="756">
        <f t="shared" si="1"/>
        <v>2033.4656867369893</v>
      </c>
      <c r="G22" s="756">
        <f t="shared" si="1"/>
        <v>0</v>
      </c>
      <c r="H22" s="756">
        <f t="shared" si="1"/>
        <v>586711.44376402663</v>
      </c>
      <c r="I22" s="756">
        <f t="shared" si="1"/>
        <v>75694.698942217045</v>
      </c>
      <c r="J22" s="756">
        <f t="shared" si="1"/>
        <v>0</v>
      </c>
      <c r="K22" s="756">
        <f t="shared" si="1"/>
        <v>0</v>
      </c>
      <c r="L22" s="756">
        <f t="shared" si="1"/>
        <v>0</v>
      </c>
      <c r="M22" s="756">
        <f t="shared" si="1"/>
        <v>0</v>
      </c>
      <c r="N22" s="756">
        <f t="shared" si="1"/>
        <v>29569.987019805285</v>
      </c>
      <c r="O22" s="756">
        <f t="shared" si="1"/>
        <v>0</v>
      </c>
      <c r="P22" s="756">
        <f t="shared" si="1"/>
        <v>0</v>
      </c>
      <c r="Q22" s="756">
        <f t="shared" si="1"/>
        <v>0</v>
      </c>
      <c r="R22" s="756">
        <f t="shared" si="1"/>
        <v>694119.80403197627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2394.6792644139791</v>
      </c>
      <c r="D24" s="639">
        <f>+landbouw!C8</f>
        <v>0</v>
      </c>
      <c r="E24" s="639">
        <f>+landbouw!D8</f>
        <v>746.71351224050784</v>
      </c>
      <c r="F24" s="639">
        <f>+landbouw!E8</f>
        <v>23.647893587844536</v>
      </c>
      <c r="G24" s="639">
        <f>+landbouw!F8</f>
        <v>7989.2836533549453</v>
      </c>
      <c r="H24" s="639">
        <f>+landbouw!G8</f>
        <v>0</v>
      </c>
      <c r="I24" s="639">
        <f>+landbouw!H8</f>
        <v>0</v>
      </c>
      <c r="J24" s="639">
        <f>+landbouw!I8</f>
        <v>0</v>
      </c>
      <c r="K24" s="639">
        <f>+landbouw!J8</f>
        <v>238.91630691584811</v>
      </c>
      <c r="L24" s="639">
        <f>+landbouw!K8</f>
        <v>0</v>
      </c>
      <c r="M24" s="639">
        <f>+landbouw!L8</f>
        <v>0</v>
      </c>
      <c r="N24" s="639">
        <f>+landbouw!M8</f>
        <v>0</v>
      </c>
      <c r="O24" s="639">
        <f>+landbouw!N8</f>
        <v>0</v>
      </c>
      <c r="P24" s="639">
        <f>+landbouw!O8</f>
        <v>0</v>
      </c>
      <c r="Q24" s="640">
        <f>+landbouw!P8</f>
        <v>0</v>
      </c>
      <c r="R24" s="642">
        <f>SUM(C24:Q24)</f>
        <v>11393.240630513124</v>
      </c>
      <c r="S24" s="68"/>
    </row>
    <row r="25" spans="1:19" s="443" customFormat="1" ht="15" thickBot="1">
      <c r="A25" s="775" t="s">
        <v>847</v>
      </c>
      <c r="B25" s="941"/>
      <c r="C25" s="942">
        <f>IF(Onbekend_ele_kWh="---",0,Onbekend_ele_kWh)/1000+IF(REST_rest_ele_kWh="---",0,REST_rest_ele_kWh)/1000</f>
        <v>7264.8930114978893</v>
      </c>
      <c r="D25" s="942"/>
      <c r="E25" s="942">
        <f>IF(onbekend_gas_kWh="---",0,onbekend_gas_kWh)/1000+IF(REST_rest_gas_kWh="---",0,REST_rest_gas_kWh)/1000</f>
        <v>41218.105626820397</v>
      </c>
      <c r="F25" s="942"/>
      <c r="G25" s="942"/>
      <c r="H25" s="942"/>
      <c r="I25" s="942"/>
      <c r="J25" s="942"/>
      <c r="K25" s="942"/>
      <c r="L25" s="942"/>
      <c r="M25" s="942"/>
      <c r="N25" s="942"/>
      <c r="O25" s="942"/>
      <c r="P25" s="942"/>
      <c r="Q25" s="943"/>
      <c r="R25" s="642">
        <f>SUM(C25:Q25)</f>
        <v>48482.998638318284</v>
      </c>
      <c r="S25" s="68"/>
    </row>
    <row r="26" spans="1:19" s="443" customFormat="1" ht="15.75" thickBot="1">
      <c r="A26" s="645" t="s">
        <v>848</v>
      </c>
      <c r="B26" s="761"/>
      <c r="C26" s="756">
        <f>SUM(C24:C25)</f>
        <v>9659.5722759118689</v>
      </c>
      <c r="D26" s="756">
        <f t="shared" ref="D26:R26" si="2">SUM(D24:D25)</f>
        <v>0</v>
      </c>
      <c r="E26" s="756">
        <f t="shared" si="2"/>
        <v>41964.819139060906</v>
      </c>
      <c r="F26" s="756">
        <f t="shared" si="2"/>
        <v>23.647893587844536</v>
      </c>
      <c r="G26" s="756">
        <f t="shared" si="2"/>
        <v>7989.2836533549453</v>
      </c>
      <c r="H26" s="756">
        <f t="shared" si="2"/>
        <v>0</v>
      </c>
      <c r="I26" s="756">
        <f t="shared" si="2"/>
        <v>0</v>
      </c>
      <c r="J26" s="756">
        <f t="shared" si="2"/>
        <v>0</v>
      </c>
      <c r="K26" s="756">
        <f t="shared" si="2"/>
        <v>238.91630691584811</v>
      </c>
      <c r="L26" s="756">
        <f t="shared" si="2"/>
        <v>0</v>
      </c>
      <c r="M26" s="756">
        <f t="shared" si="2"/>
        <v>0</v>
      </c>
      <c r="N26" s="756">
        <f t="shared" si="2"/>
        <v>0</v>
      </c>
      <c r="O26" s="756">
        <f t="shared" si="2"/>
        <v>0</v>
      </c>
      <c r="P26" s="756">
        <f t="shared" si="2"/>
        <v>0</v>
      </c>
      <c r="Q26" s="756">
        <f t="shared" si="2"/>
        <v>0</v>
      </c>
      <c r="R26" s="756">
        <f t="shared" si="2"/>
        <v>59876.239268831407</v>
      </c>
      <c r="S26" s="68"/>
    </row>
    <row r="27" spans="1:19" s="443" customFormat="1" ht="17.25" thickTop="1" thickBot="1">
      <c r="A27" s="646" t="s">
        <v>109</v>
      </c>
      <c r="B27" s="748"/>
      <c r="C27" s="647">
        <f ca="1">C22+C16+C26</f>
        <v>432468.36839600821</v>
      </c>
      <c r="D27" s="647">
        <f t="shared" ref="D27:R27" ca="1" si="3">D22+D16+D26</f>
        <v>916.07142857142856</v>
      </c>
      <c r="E27" s="647">
        <f t="shared" ca="1" si="3"/>
        <v>825895.58750222577</v>
      </c>
      <c r="F27" s="647">
        <f t="shared" si="3"/>
        <v>9553.5508783051973</v>
      </c>
      <c r="G27" s="647">
        <f t="shared" ca="1" si="3"/>
        <v>220674.84361570541</v>
      </c>
      <c r="H27" s="647">
        <f t="shared" si="3"/>
        <v>586711.44376402663</v>
      </c>
      <c r="I27" s="647">
        <f t="shared" si="3"/>
        <v>75694.698942217045</v>
      </c>
      <c r="J27" s="647">
        <f t="shared" si="3"/>
        <v>0</v>
      </c>
      <c r="K27" s="647">
        <f t="shared" si="3"/>
        <v>3404.8657248209074</v>
      </c>
      <c r="L27" s="647">
        <f t="shared" si="3"/>
        <v>0</v>
      </c>
      <c r="M27" s="647">
        <f t="shared" ca="1" si="3"/>
        <v>0</v>
      </c>
      <c r="N27" s="647">
        <f t="shared" si="3"/>
        <v>29569.987019805285</v>
      </c>
      <c r="O27" s="647">
        <f t="shared" ca="1" si="3"/>
        <v>62815.911863366717</v>
      </c>
      <c r="P27" s="647">
        <f t="shared" si="3"/>
        <v>320.48333333333335</v>
      </c>
      <c r="Q27" s="647">
        <f t="shared" si="3"/>
        <v>648.26666666666665</v>
      </c>
      <c r="R27" s="647">
        <f t="shared" ca="1" si="3"/>
        <v>2248674.0791350529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38709.8895422766</v>
      </c>
      <c r="D40" s="639">
        <f ca="1">tertiair!C20</f>
        <v>217.70168067226894</v>
      </c>
      <c r="E40" s="639">
        <f ca="1">tertiair!D20</f>
        <v>42778.436521590927</v>
      </c>
      <c r="F40" s="639">
        <f>tertiair!E20</f>
        <v>340.07765926499371</v>
      </c>
      <c r="G40" s="639">
        <f ca="1">tertiair!F20</f>
        <v>10310.201960119281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92356.307363924076</v>
      </c>
    </row>
    <row r="41" spans="1:18">
      <c r="A41" s="766" t="s">
        <v>214</v>
      </c>
      <c r="B41" s="773"/>
      <c r="C41" s="639">
        <f ca="1">huishoudens!B12</f>
        <v>25943.328991753446</v>
      </c>
      <c r="D41" s="639">
        <f ca="1">huishoudens!C12</f>
        <v>0</v>
      </c>
      <c r="E41" s="639">
        <f>huishoudens!D12</f>
        <v>73820.667784443562</v>
      </c>
      <c r="F41" s="639">
        <f>huishoudens!E12</f>
        <v>1086.404326659155</v>
      </c>
      <c r="G41" s="639">
        <f>huishoudens!F12</f>
        <v>38957.668615401228</v>
      </c>
      <c r="H41" s="639">
        <f>huishoudens!G12</f>
        <v>0</v>
      </c>
      <c r="I41" s="639">
        <f>huishoudens!H12</f>
        <v>0</v>
      </c>
      <c r="J41" s="639">
        <f>huishoudens!I12</f>
        <v>0</v>
      </c>
      <c r="K41" s="639">
        <f>huishoudens!J12</f>
        <v>937.20283193164948</v>
      </c>
      <c r="L41" s="639">
        <f>huishoudens!K12</f>
        <v>0</v>
      </c>
      <c r="M41" s="639">
        <f>huishoudens!L12</f>
        <v>0</v>
      </c>
      <c r="N41" s="639">
        <f>huishoudens!M12</f>
        <v>0</v>
      </c>
      <c r="O41" s="639">
        <f>huishoudens!N12</f>
        <v>0</v>
      </c>
      <c r="P41" s="639">
        <f>huishoudens!O12</f>
        <v>0</v>
      </c>
      <c r="Q41" s="714">
        <f>huishoudens!P12</f>
        <v>0</v>
      </c>
      <c r="R41" s="794">
        <f t="shared" ca="1" si="4"/>
        <v>140745.27255018905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23263.346535901142</v>
      </c>
      <c r="D43" s="639">
        <f ca="1">industrie!C22</f>
        <v>0</v>
      </c>
      <c r="E43" s="639">
        <f>industrie!D22</f>
        <v>41749.044447475484</v>
      </c>
      <c r="F43" s="639">
        <f>industrie!E22</f>
        <v>275.20928071739417</v>
      </c>
      <c r="G43" s="639">
        <f>industrie!F22</f>
        <v>7519.1739344270709</v>
      </c>
      <c r="H43" s="639">
        <f>industrie!G22</f>
        <v>0</v>
      </c>
      <c r="I43" s="639">
        <f>industrie!H22</f>
        <v>0</v>
      </c>
      <c r="J43" s="639">
        <f>industrie!I22</f>
        <v>0</v>
      </c>
      <c r="K43" s="639">
        <f>industrie!J22</f>
        <v>183.54326200674143</v>
      </c>
      <c r="L43" s="639">
        <f>industrie!K22</f>
        <v>0</v>
      </c>
      <c r="M43" s="639">
        <f>industrie!L22</f>
        <v>0</v>
      </c>
      <c r="N43" s="639">
        <f>industrie!M22</f>
        <v>0</v>
      </c>
      <c r="O43" s="639">
        <f>industrie!N22</f>
        <v>0</v>
      </c>
      <c r="P43" s="639">
        <f>industrie!O22</f>
        <v>0</v>
      </c>
      <c r="Q43" s="714">
        <f>industrie!P22</f>
        <v>0</v>
      </c>
      <c r="R43" s="793">
        <f t="shared" ca="1" si="4"/>
        <v>72990.317460527833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87916.565069931195</v>
      </c>
      <c r="D46" s="672">
        <f t="shared" ref="D46:Q46" ca="1" si="5">SUM(D39:D45)</f>
        <v>217.70168067226894</v>
      </c>
      <c r="E46" s="672">
        <f t="shared" ca="1" si="5"/>
        <v>158348.14875350997</v>
      </c>
      <c r="F46" s="672">
        <f t="shared" si="5"/>
        <v>1701.6912666415431</v>
      </c>
      <c r="G46" s="672">
        <f t="shared" ca="1" si="5"/>
        <v>56787.044509947576</v>
      </c>
      <c r="H46" s="672">
        <f t="shared" si="5"/>
        <v>0</v>
      </c>
      <c r="I46" s="672">
        <f t="shared" si="5"/>
        <v>0</v>
      </c>
      <c r="J46" s="672">
        <f t="shared" si="5"/>
        <v>0</v>
      </c>
      <c r="K46" s="672">
        <f t="shared" si="5"/>
        <v>1120.7460939383909</v>
      </c>
      <c r="L46" s="672">
        <f t="shared" si="5"/>
        <v>0</v>
      </c>
      <c r="M46" s="672">
        <f t="shared" ca="1" si="5"/>
        <v>0</v>
      </c>
      <c r="N46" s="672">
        <f t="shared" si="5"/>
        <v>0</v>
      </c>
      <c r="O46" s="672">
        <f t="shared" ca="1" si="5"/>
        <v>0</v>
      </c>
      <c r="P46" s="672">
        <f t="shared" si="5"/>
        <v>0</v>
      </c>
      <c r="Q46" s="672">
        <f t="shared" si="5"/>
        <v>0</v>
      </c>
      <c r="R46" s="672">
        <f ca="1">SUM(R39:R45)</f>
        <v>306091.89737464098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11.716674370705171</v>
      </c>
      <c r="D49" s="639">
        <f ca="1">transport!C58</f>
        <v>0</v>
      </c>
      <c r="E49" s="639">
        <f>transport!D58</f>
        <v>0</v>
      </c>
      <c r="F49" s="639">
        <f>transport!E58</f>
        <v>0</v>
      </c>
      <c r="G49" s="639">
        <f>transport!F58</f>
        <v>0</v>
      </c>
      <c r="H49" s="639">
        <f>transport!G58</f>
        <v>3000.1563605053411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3011.8730348760464</v>
      </c>
    </row>
    <row r="50" spans="1:18">
      <c r="A50" s="769" t="s">
        <v>296</v>
      </c>
      <c r="B50" s="779"/>
      <c r="C50" s="948">
        <f ca="1">transport!B18</f>
        <v>5.163941217031101</v>
      </c>
      <c r="D50" s="948">
        <f>transport!C18</f>
        <v>0</v>
      </c>
      <c r="E50" s="948">
        <f>transport!D18</f>
        <v>5.8664558493685535</v>
      </c>
      <c r="F50" s="948">
        <f>transport!E18</f>
        <v>461.59671088929656</v>
      </c>
      <c r="G50" s="948">
        <f>transport!F18</f>
        <v>0</v>
      </c>
      <c r="H50" s="948">
        <f>transport!G18</f>
        <v>153651.79912448977</v>
      </c>
      <c r="I50" s="948">
        <f>transport!H18</f>
        <v>18847.980036612043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172972.40626905751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16.880615587736273</v>
      </c>
      <c r="D52" s="672">
        <f t="shared" ref="D52:Q52" ca="1" si="6">SUM(D48:D51)</f>
        <v>0</v>
      </c>
      <c r="E52" s="672">
        <f t="shared" si="6"/>
        <v>5.8664558493685535</v>
      </c>
      <c r="F52" s="672">
        <f t="shared" si="6"/>
        <v>461.59671088929656</v>
      </c>
      <c r="G52" s="672">
        <f t="shared" si="6"/>
        <v>0</v>
      </c>
      <c r="H52" s="672">
        <f t="shared" si="6"/>
        <v>156651.95548499512</v>
      </c>
      <c r="I52" s="672">
        <f t="shared" si="6"/>
        <v>18847.980036612043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175984.27930393355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498.03220974563931</v>
      </c>
      <c r="D54" s="948">
        <f ca="1">+landbouw!C12</f>
        <v>0</v>
      </c>
      <c r="E54" s="948">
        <f>+landbouw!D12</f>
        <v>150.8361294725826</v>
      </c>
      <c r="F54" s="948">
        <f>+landbouw!E12</f>
        <v>5.3680718444407098</v>
      </c>
      <c r="G54" s="948">
        <f>+landbouw!F12</f>
        <v>2133.1387354457706</v>
      </c>
      <c r="H54" s="948">
        <f>+landbouw!G12</f>
        <v>0</v>
      </c>
      <c r="I54" s="948">
        <f>+landbouw!H12</f>
        <v>0</v>
      </c>
      <c r="J54" s="948">
        <f>+landbouw!I12</f>
        <v>0</v>
      </c>
      <c r="K54" s="948">
        <f>+landbouw!J12</f>
        <v>84.576372648210224</v>
      </c>
      <c r="L54" s="948">
        <f>+landbouw!K12</f>
        <v>0</v>
      </c>
      <c r="M54" s="948">
        <f>+landbouw!L12</f>
        <v>0</v>
      </c>
      <c r="N54" s="948">
        <f>+landbouw!M12</f>
        <v>0</v>
      </c>
      <c r="O54" s="948">
        <f>+landbouw!N12</f>
        <v>0</v>
      </c>
      <c r="P54" s="948">
        <f>+landbouw!O12</f>
        <v>0</v>
      </c>
      <c r="Q54" s="949">
        <f>+landbouw!P12</f>
        <v>0</v>
      </c>
      <c r="R54" s="671">
        <f ca="1">SUM(C54:Q54)</f>
        <v>2871.9515191566434</v>
      </c>
    </row>
    <row r="55" spans="1:18" ht="15" thickBot="1">
      <c r="A55" s="769" t="s">
        <v>847</v>
      </c>
      <c r="B55" s="779"/>
      <c r="C55" s="948">
        <f ca="1">C25*'EF ele_warmte'!B12</f>
        <v>1510.9124523894736</v>
      </c>
      <c r="D55" s="948"/>
      <c r="E55" s="948">
        <f>E25*EF_CO2_aardgas</f>
        <v>8326.0573366177214</v>
      </c>
      <c r="F55" s="948"/>
      <c r="G55" s="948"/>
      <c r="H55" s="948"/>
      <c r="I55" s="948"/>
      <c r="J55" s="948"/>
      <c r="K55" s="948"/>
      <c r="L55" s="948"/>
      <c r="M55" s="948"/>
      <c r="N55" s="948"/>
      <c r="O55" s="948"/>
      <c r="P55" s="948"/>
      <c r="Q55" s="949"/>
      <c r="R55" s="671">
        <f ca="1">SUM(C55:Q55)</f>
        <v>9836.9697890071948</v>
      </c>
    </row>
    <row r="56" spans="1:18" ht="15.75" thickBot="1">
      <c r="A56" s="767" t="s">
        <v>848</v>
      </c>
      <c r="B56" s="780"/>
      <c r="C56" s="672">
        <f ca="1">SUM(C54:C55)</f>
        <v>2008.944662135113</v>
      </c>
      <c r="D56" s="672">
        <f t="shared" ref="D56:Q56" ca="1" si="7">SUM(D54:D55)</f>
        <v>0</v>
      </c>
      <c r="E56" s="672">
        <f t="shared" si="7"/>
        <v>8476.8934660903033</v>
      </c>
      <c r="F56" s="672">
        <f t="shared" si="7"/>
        <v>5.3680718444407098</v>
      </c>
      <c r="G56" s="672">
        <f t="shared" si="7"/>
        <v>2133.1387354457706</v>
      </c>
      <c r="H56" s="672">
        <f t="shared" si="7"/>
        <v>0</v>
      </c>
      <c r="I56" s="672">
        <f t="shared" si="7"/>
        <v>0</v>
      </c>
      <c r="J56" s="672">
        <f t="shared" si="7"/>
        <v>0</v>
      </c>
      <c r="K56" s="672">
        <f t="shared" si="7"/>
        <v>84.576372648210224</v>
      </c>
      <c r="L56" s="672">
        <f t="shared" si="7"/>
        <v>0</v>
      </c>
      <c r="M56" s="672">
        <f t="shared" si="7"/>
        <v>0</v>
      </c>
      <c r="N56" s="672">
        <f t="shared" si="7"/>
        <v>0</v>
      </c>
      <c r="O56" s="672">
        <f t="shared" si="7"/>
        <v>0</v>
      </c>
      <c r="P56" s="672">
        <f t="shared" si="7"/>
        <v>0</v>
      </c>
      <c r="Q56" s="673">
        <f t="shared" si="7"/>
        <v>0</v>
      </c>
      <c r="R56" s="674">
        <f ca="1">SUM(R54:R55)</f>
        <v>12708.921308163837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89942.390347654044</v>
      </c>
      <c r="D61" s="680">
        <f t="shared" ref="D61:Q61" ca="1" si="8">D46+D52+D56</f>
        <v>217.70168067226894</v>
      </c>
      <c r="E61" s="680">
        <f t="shared" ca="1" si="8"/>
        <v>166830.90867544967</v>
      </c>
      <c r="F61" s="680">
        <f t="shared" si="8"/>
        <v>2168.6560493752804</v>
      </c>
      <c r="G61" s="680">
        <f t="shared" ca="1" si="8"/>
        <v>58920.183245393346</v>
      </c>
      <c r="H61" s="680">
        <f t="shared" si="8"/>
        <v>156651.95548499512</v>
      </c>
      <c r="I61" s="680">
        <f t="shared" si="8"/>
        <v>18847.980036612043</v>
      </c>
      <c r="J61" s="680">
        <f t="shared" si="8"/>
        <v>0</v>
      </c>
      <c r="K61" s="680">
        <f t="shared" si="8"/>
        <v>1205.3224665866012</v>
      </c>
      <c r="L61" s="680">
        <f t="shared" si="8"/>
        <v>0</v>
      </c>
      <c r="M61" s="680">
        <f t="shared" ca="1" si="8"/>
        <v>0</v>
      </c>
      <c r="N61" s="680">
        <f t="shared" si="8"/>
        <v>0</v>
      </c>
      <c r="O61" s="680">
        <f t="shared" ca="1" si="8"/>
        <v>0</v>
      </c>
      <c r="P61" s="680">
        <f t="shared" si="8"/>
        <v>0</v>
      </c>
      <c r="Q61" s="680">
        <f t="shared" si="8"/>
        <v>0</v>
      </c>
      <c r="R61" s="680">
        <f ca="1">R46+R52+R56</f>
        <v>494785.09798673837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0.20797449460001763</v>
      </c>
      <c r="D63" s="724">
        <f t="shared" ca="1" si="9"/>
        <v>0.23764705882352943</v>
      </c>
      <c r="E63" s="950">
        <f t="shared" ca="1" si="9"/>
        <v>0.20200000000000007</v>
      </c>
      <c r="F63" s="724">
        <f t="shared" si="9"/>
        <v>0.22700000000000006</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9932.805633004109</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15604.723753124199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641.25</v>
      </c>
      <c r="D76" s="960">
        <f>'lokale energieproductie'!C8</f>
        <v>754.41176470588255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152.39117647058828</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25537.529386128306</v>
      </c>
      <c r="C78" s="695">
        <f>SUM(C72:C77)</f>
        <v>641.25</v>
      </c>
      <c r="D78" s="696">
        <f t="shared" ref="D78:H78" si="10">SUM(D76:D77)</f>
        <v>754.41176470588255</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152.39117647058828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916.07142857142856</v>
      </c>
      <c r="D87" s="717">
        <f>'lokale energieproductie'!C17</f>
        <v>1077.7310924369749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217.70168067226894</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916.07142857142856</v>
      </c>
      <c r="D90" s="695">
        <f t="shared" ref="D90:H90" si="12">SUM(D87:D89)</f>
        <v>1077.7310924369749</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217.70168067226894</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124742.83946042701</v>
      </c>
      <c r="C4" s="447">
        <f>huishoudens!C8</f>
        <v>0</v>
      </c>
      <c r="D4" s="447">
        <f>huishoudens!D8</f>
        <v>365448.85041803739</v>
      </c>
      <c r="E4" s="447">
        <f>huishoudens!E8</f>
        <v>4785.9221438729292</v>
      </c>
      <c r="F4" s="447">
        <f>huishoudens!F8</f>
        <v>145908.87121873119</v>
      </c>
      <c r="G4" s="447">
        <f>huishoudens!G8</f>
        <v>0</v>
      </c>
      <c r="H4" s="447">
        <f>huishoudens!H8</f>
        <v>0</v>
      </c>
      <c r="I4" s="447">
        <f>huishoudens!I8</f>
        <v>0</v>
      </c>
      <c r="J4" s="447">
        <f>huishoudens!J8</f>
        <v>2647.4656269255638</v>
      </c>
      <c r="K4" s="447">
        <f>huishoudens!K8</f>
        <v>0</v>
      </c>
      <c r="L4" s="447">
        <f>huishoudens!L8</f>
        <v>0</v>
      </c>
      <c r="M4" s="447">
        <f>huishoudens!M8</f>
        <v>0</v>
      </c>
      <c r="N4" s="447">
        <f>huishoudens!N8</f>
        <v>45126.880428444689</v>
      </c>
      <c r="O4" s="447">
        <f>huishoudens!O8</f>
        <v>311.10333333333335</v>
      </c>
      <c r="P4" s="448">
        <f>huishoudens!P8</f>
        <v>533.86666666666667</v>
      </c>
      <c r="Q4" s="449">
        <f>SUM(B4:P4)</f>
        <v>689505.79929643893</v>
      </c>
    </row>
    <row r="5" spans="1:17">
      <c r="A5" s="446" t="s">
        <v>149</v>
      </c>
      <c r="B5" s="447">
        <f ca="1">tertiair!B16</f>
        <v>179410.56860065227</v>
      </c>
      <c r="C5" s="447">
        <f ca="1">tertiair!C16</f>
        <v>916.07142857142856</v>
      </c>
      <c r="D5" s="447">
        <f ca="1">tertiair!D16</f>
        <v>211774.43822569764</v>
      </c>
      <c r="E5" s="447">
        <f>tertiair!E16</f>
        <v>1498.1394681277256</v>
      </c>
      <c r="F5" s="447">
        <f ca="1">tertiair!F16</f>
        <v>38614.98861467895</v>
      </c>
      <c r="G5" s="447">
        <f>tertiair!G16</f>
        <v>0</v>
      </c>
      <c r="H5" s="447">
        <f>tertiair!H16</f>
        <v>0</v>
      </c>
      <c r="I5" s="447">
        <f>tertiair!I16</f>
        <v>0</v>
      </c>
      <c r="J5" s="447">
        <f>tertiair!J16</f>
        <v>0</v>
      </c>
      <c r="K5" s="447">
        <f>tertiair!K16</f>
        <v>0</v>
      </c>
      <c r="L5" s="447">
        <f ca="1">tertiair!L16</f>
        <v>0</v>
      </c>
      <c r="M5" s="447">
        <f>tertiair!M16</f>
        <v>0</v>
      </c>
      <c r="N5" s="447">
        <f ca="1">tertiair!N16</f>
        <v>10257.741869530004</v>
      </c>
      <c r="O5" s="447">
        <f>tertiair!O16</f>
        <v>9.3800000000000008</v>
      </c>
      <c r="P5" s="448">
        <f>tertiair!P16</f>
        <v>114.4</v>
      </c>
      <c r="Q5" s="446">
        <f t="shared" ref="Q5:Q14" ca="1" si="0">SUM(B5:P5)</f>
        <v>442595.7282072581</v>
      </c>
    </row>
    <row r="6" spans="1:17">
      <c r="A6" s="446" t="s">
        <v>187</v>
      </c>
      <c r="B6" s="447">
        <f>'openbare verlichting'!B8</f>
        <v>6717.4930000000004</v>
      </c>
      <c r="C6" s="447"/>
      <c r="D6" s="447"/>
      <c r="E6" s="447"/>
      <c r="F6" s="447"/>
      <c r="G6" s="447"/>
      <c r="H6" s="447"/>
      <c r="I6" s="447"/>
      <c r="J6" s="447"/>
      <c r="K6" s="447"/>
      <c r="L6" s="447"/>
      <c r="M6" s="447"/>
      <c r="N6" s="447"/>
      <c r="O6" s="447"/>
      <c r="P6" s="448"/>
      <c r="Q6" s="446">
        <f t="shared" si="0"/>
        <v>6717.4930000000004</v>
      </c>
    </row>
    <row r="7" spans="1:17">
      <c r="A7" s="446" t="s">
        <v>105</v>
      </c>
      <c r="B7" s="447">
        <f>landbouw!B8</f>
        <v>2394.6792644139791</v>
      </c>
      <c r="C7" s="447">
        <f>landbouw!C8</f>
        <v>0</v>
      </c>
      <c r="D7" s="447">
        <f>landbouw!D8</f>
        <v>746.71351224050784</v>
      </c>
      <c r="E7" s="447">
        <f>landbouw!E8</f>
        <v>23.647893587844536</v>
      </c>
      <c r="F7" s="447">
        <f>landbouw!F8</f>
        <v>7989.2836533549453</v>
      </c>
      <c r="G7" s="447">
        <f>landbouw!G8</f>
        <v>0</v>
      </c>
      <c r="H7" s="447">
        <f>landbouw!H8</f>
        <v>0</v>
      </c>
      <c r="I7" s="447">
        <f>landbouw!I8</f>
        <v>0</v>
      </c>
      <c r="J7" s="447">
        <f>landbouw!J8</f>
        <v>238.91630691584811</v>
      </c>
      <c r="K7" s="447">
        <f>landbouw!K8</f>
        <v>0</v>
      </c>
      <c r="L7" s="447">
        <f>landbouw!L8</f>
        <v>0</v>
      </c>
      <c r="M7" s="447">
        <f>landbouw!M8</f>
        <v>0</v>
      </c>
      <c r="N7" s="447">
        <f>landbouw!N8</f>
        <v>0</v>
      </c>
      <c r="O7" s="447">
        <f>landbouw!O8</f>
        <v>0</v>
      </c>
      <c r="P7" s="448">
        <f>landbouw!P8</f>
        <v>0</v>
      </c>
      <c r="Q7" s="446">
        <f t="shared" si="0"/>
        <v>11393.240630513124</v>
      </c>
    </row>
    <row r="8" spans="1:17">
      <c r="A8" s="446" t="s">
        <v>640</v>
      </c>
      <c r="B8" s="447">
        <f>industrie!B18</f>
        <v>111856.72830046713</v>
      </c>
      <c r="C8" s="447">
        <f>industrie!C18</f>
        <v>0</v>
      </c>
      <c r="D8" s="447">
        <f>industrie!D18</f>
        <v>206678.43785878952</v>
      </c>
      <c r="E8" s="447">
        <f>industrie!E18</f>
        <v>1212.3756859797099</v>
      </c>
      <c r="F8" s="447">
        <f>industrie!F18</f>
        <v>28161.700128940338</v>
      </c>
      <c r="G8" s="447">
        <f>industrie!G18</f>
        <v>0</v>
      </c>
      <c r="H8" s="447">
        <f>industrie!H18</f>
        <v>0</v>
      </c>
      <c r="I8" s="447">
        <f>industrie!I18</f>
        <v>0</v>
      </c>
      <c r="J8" s="447">
        <f>industrie!J18</f>
        <v>518.48379097949555</v>
      </c>
      <c r="K8" s="447">
        <f>industrie!K18</f>
        <v>0</v>
      </c>
      <c r="L8" s="447">
        <f>industrie!L18</f>
        <v>0</v>
      </c>
      <c r="M8" s="447">
        <f>industrie!M18</f>
        <v>0</v>
      </c>
      <c r="N8" s="447">
        <f>industrie!N18</f>
        <v>7431.2895653920177</v>
      </c>
      <c r="O8" s="447">
        <f>industrie!O18</f>
        <v>0</v>
      </c>
      <c r="P8" s="448">
        <f>industrie!P18</f>
        <v>0</v>
      </c>
      <c r="Q8" s="446">
        <f t="shared" si="0"/>
        <v>355859.01533054822</v>
      </c>
    </row>
    <row r="9" spans="1:17" s="452" customFormat="1">
      <c r="A9" s="450" t="s">
        <v>560</v>
      </c>
      <c r="B9" s="451">
        <f>transport!B14</f>
        <v>24.829685135009161</v>
      </c>
      <c r="C9" s="451">
        <f>transport!C14</f>
        <v>0</v>
      </c>
      <c r="D9" s="451">
        <f>transport!D14</f>
        <v>29.041860640438383</v>
      </c>
      <c r="E9" s="451">
        <f>transport!E14</f>
        <v>2033.4656867369893</v>
      </c>
      <c r="F9" s="451">
        <f>transport!F14</f>
        <v>0</v>
      </c>
      <c r="G9" s="451">
        <f>transport!G14</f>
        <v>575474.90308797662</v>
      </c>
      <c r="H9" s="451">
        <f>transport!H14</f>
        <v>75694.698942217045</v>
      </c>
      <c r="I9" s="451">
        <f>transport!I14</f>
        <v>0</v>
      </c>
      <c r="J9" s="451">
        <f>transport!J14</f>
        <v>0</v>
      </c>
      <c r="K9" s="451">
        <f>transport!K14</f>
        <v>0</v>
      </c>
      <c r="L9" s="451">
        <f>transport!L14</f>
        <v>0</v>
      </c>
      <c r="M9" s="451">
        <f>transport!M14</f>
        <v>29073.34388932203</v>
      </c>
      <c r="N9" s="451">
        <f>transport!N14</f>
        <v>0</v>
      </c>
      <c r="O9" s="451">
        <f>transport!O14</f>
        <v>0</v>
      </c>
      <c r="P9" s="451">
        <f>transport!P14</f>
        <v>0</v>
      </c>
      <c r="Q9" s="450">
        <f>SUM(B9:P9)</f>
        <v>682330.2831520281</v>
      </c>
    </row>
    <row r="10" spans="1:17">
      <c r="A10" s="446" t="s">
        <v>550</v>
      </c>
      <c r="B10" s="447">
        <f>transport!B54</f>
        <v>56.337073414886795</v>
      </c>
      <c r="C10" s="447">
        <f>transport!C54</f>
        <v>0</v>
      </c>
      <c r="D10" s="447">
        <f>transport!D54</f>
        <v>0</v>
      </c>
      <c r="E10" s="447">
        <f>transport!E54</f>
        <v>0</v>
      </c>
      <c r="F10" s="447">
        <f>transport!F54</f>
        <v>0</v>
      </c>
      <c r="G10" s="447">
        <f>transport!G54</f>
        <v>11236.540676049966</v>
      </c>
      <c r="H10" s="447">
        <f>transport!H54</f>
        <v>0</v>
      </c>
      <c r="I10" s="447">
        <f>transport!I54</f>
        <v>0</v>
      </c>
      <c r="J10" s="447">
        <f>transport!J54</f>
        <v>0</v>
      </c>
      <c r="K10" s="447">
        <f>transport!K54</f>
        <v>0</v>
      </c>
      <c r="L10" s="447">
        <f>transport!L54</f>
        <v>0</v>
      </c>
      <c r="M10" s="447">
        <f>transport!M54</f>
        <v>496.64313048325414</v>
      </c>
      <c r="N10" s="447">
        <f>transport!N54</f>
        <v>0</v>
      </c>
      <c r="O10" s="447">
        <f>transport!O54</f>
        <v>0</v>
      </c>
      <c r="P10" s="448">
        <f>transport!P54</f>
        <v>0</v>
      </c>
      <c r="Q10" s="446">
        <f t="shared" si="0"/>
        <v>11789.520879948108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7264.8930114978893</v>
      </c>
      <c r="C14" s="454"/>
      <c r="D14" s="454">
        <f>'SEAP template'!E25</f>
        <v>41218.105626820397</v>
      </c>
      <c r="E14" s="454"/>
      <c r="F14" s="454"/>
      <c r="G14" s="454"/>
      <c r="H14" s="454"/>
      <c r="I14" s="454"/>
      <c r="J14" s="454"/>
      <c r="K14" s="454"/>
      <c r="L14" s="454"/>
      <c r="M14" s="454"/>
      <c r="N14" s="454"/>
      <c r="O14" s="454"/>
      <c r="P14" s="455"/>
      <c r="Q14" s="446">
        <f t="shared" si="0"/>
        <v>48482.998638318284</v>
      </c>
    </row>
    <row r="15" spans="1:17" s="459" customFormat="1">
      <c r="A15" s="456" t="s">
        <v>554</v>
      </c>
      <c r="B15" s="457">
        <f ca="1">SUM(B4:B14)</f>
        <v>432468.36839600821</v>
      </c>
      <c r="C15" s="457">
        <f t="shared" ref="C15:Q15" ca="1" si="1">SUM(C4:C14)</f>
        <v>916.07142857142856</v>
      </c>
      <c r="D15" s="457">
        <f t="shared" ca="1" si="1"/>
        <v>825895.58750222588</v>
      </c>
      <c r="E15" s="457">
        <f t="shared" si="1"/>
        <v>9553.5508783051973</v>
      </c>
      <c r="F15" s="457">
        <f t="shared" ca="1" si="1"/>
        <v>220674.84361570541</v>
      </c>
      <c r="G15" s="457">
        <f t="shared" si="1"/>
        <v>586711.44376402663</v>
      </c>
      <c r="H15" s="457">
        <f t="shared" si="1"/>
        <v>75694.698942217045</v>
      </c>
      <c r="I15" s="457">
        <f t="shared" si="1"/>
        <v>0</v>
      </c>
      <c r="J15" s="457">
        <f t="shared" si="1"/>
        <v>3404.8657248209074</v>
      </c>
      <c r="K15" s="457">
        <f t="shared" si="1"/>
        <v>0</v>
      </c>
      <c r="L15" s="457">
        <f t="shared" ca="1" si="1"/>
        <v>0</v>
      </c>
      <c r="M15" s="457">
        <f t="shared" si="1"/>
        <v>29569.987019805285</v>
      </c>
      <c r="N15" s="457">
        <f t="shared" ca="1" si="1"/>
        <v>62815.911863366717</v>
      </c>
      <c r="O15" s="457">
        <f t="shared" si="1"/>
        <v>320.48333333333335</v>
      </c>
      <c r="P15" s="457">
        <f t="shared" si="1"/>
        <v>648.26666666666665</v>
      </c>
      <c r="Q15" s="457">
        <f t="shared" ca="1" si="1"/>
        <v>2248674.0791350529</v>
      </c>
    </row>
    <row r="17" spans="1:17">
      <c r="A17" s="460" t="s">
        <v>555</v>
      </c>
      <c r="B17" s="729">
        <f ca="1">huishoudens!B10</f>
        <v>0.20797449460001763</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25943.328991753446</v>
      </c>
      <c r="C22" s="447">
        <f t="shared" ref="C22:C32" ca="1" si="3">C4*$C$17</f>
        <v>0</v>
      </c>
      <c r="D22" s="447">
        <f t="shared" ref="D22:D32" si="4">D4*$D$17</f>
        <v>73820.667784443562</v>
      </c>
      <c r="E22" s="447">
        <f t="shared" ref="E22:E32" si="5">E4*$E$17</f>
        <v>1086.404326659155</v>
      </c>
      <c r="F22" s="447">
        <f t="shared" ref="F22:F32" si="6">F4*$F$17</f>
        <v>38957.668615401228</v>
      </c>
      <c r="G22" s="447">
        <f t="shared" ref="G22:G32" si="7">G4*$G$17</f>
        <v>0</v>
      </c>
      <c r="H22" s="447">
        <f t="shared" ref="H22:H32" si="8">H4*$H$17</f>
        <v>0</v>
      </c>
      <c r="I22" s="447">
        <f t="shared" ref="I22:I32" si="9">I4*$I$17</f>
        <v>0</v>
      </c>
      <c r="J22" s="447">
        <f t="shared" ref="J22:J32" si="10">J4*$J$17</f>
        <v>937.20283193164948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140745.27255018905</v>
      </c>
    </row>
    <row r="23" spans="1:17">
      <c r="A23" s="446" t="s">
        <v>149</v>
      </c>
      <c r="B23" s="447">
        <f t="shared" ca="1" si="2"/>
        <v>37312.822330622446</v>
      </c>
      <c r="C23" s="447">
        <f t="shared" ca="1" si="3"/>
        <v>217.70168067226894</v>
      </c>
      <c r="D23" s="447">
        <f t="shared" ca="1" si="4"/>
        <v>42778.436521590927</v>
      </c>
      <c r="E23" s="447">
        <f t="shared" si="5"/>
        <v>340.07765926499371</v>
      </c>
      <c r="F23" s="447">
        <f t="shared" ca="1" si="6"/>
        <v>10310.201960119281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90959.240152269922</v>
      </c>
    </row>
    <row r="24" spans="1:17">
      <c r="A24" s="446" t="s">
        <v>187</v>
      </c>
      <c r="B24" s="447">
        <f t="shared" ca="1" si="2"/>
        <v>1397.0672116541564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1397.0672116541564</v>
      </c>
    </row>
    <row r="25" spans="1:17">
      <c r="A25" s="446" t="s">
        <v>105</v>
      </c>
      <c r="B25" s="447">
        <f t="shared" ca="1" si="2"/>
        <v>498.03220974563931</v>
      </c>
      <c r="C25" s="447">
        <f t="shared" ca="1" si="3"/>
        <v>0</v>
      </c>
      <c r="D25" s="447">
        <f t="shared" si="4"/>
        <v>150.8361294725826</v>
      </c>
      <c r="E25" s="447">
        <f t="shared" si="5"/>
        <v>5.3680718444407098</v>
      </c>
      <c r="F25" s="447">
        <f t="shared" si="6"/>
        <v>2133.1387354457706</v>
      </c>
      <c r="G25" s="447">
        <f t="shared" si="7"/>
        <v>0</v>
      </c>
      <c r="H25" s="447">
        <f t="shared" si="8"/>
        <v>0</v>
      </c>
      <c r="I25" s="447">
        <f t="shared" si="9"/>
        <v>0</v>
      </c>
      <c r="J25" s="447">
        <f t="shared" si="10"/>
        <v>84.576372648210224</v>
      </c>
      <c r="K25" s="447">
        <f t="shared" si="11"/>
        <v>0</v>
      </c>
      <c r="L25" s="447">
        <f t="shared" si="12"/>
        <v>0</v>
      </c>
      <c r="M25" s="447">
        <f t="shared" si="13"/>
        <v>0</v>
      </c>
      <c r="N25" s="447">
        <f t="shared" si="14"/>
        <v>0</v>
      </c>
      <c r="O25" s="447">
        <f t="shared" si="15"/>
        <v>0</v>
      </c>
      <c r="P25" s="448">
        <f t="shared" si="16"/>
        <v>0</v>
      </c>
      <c r="Q25" s="446">
        <f t="shared" ca="1" si="17"/>
        <v>2871.9515191566434</v>
      </c>
    </row>
    <row r="26" spans="1:17">
      <c r="A26" s="446" t="s">
        <v>640</v>
      </c>
      <c r="B26" s="447">
        <f t="shared" ca="1" si="2"/>
        <v>23263.346535901142</v>
      </c>
      <c r="C26" s="447">
        <f t="shared" ca="1" si="3"/>
        <v>0</v>
      </c>
      <c r="D26" s="447">
        <f t="shared" si="4"/>
        <v>41749.044447475484</v>
      </c>
      <c r="E26" s="447">
        <f t="shared" si="5"/>
        <v>275.20928071739417</v>
      </c>
      <c r="F26" s="447">
        <f t="shared" si="6"/>
        <v>7519.1739344270709</v>
      </c>
      <c r="G26" s="447">
        <f t="shared" si="7"/>
        <v>0</v>
      </c>
      <c r="H26" s="447">
        <f t="shared" si="8"/>
        <v>0</v>
      </c>
      <c r="I26" s="447">
        <f t="shared" si="9"/>
        <v>0</v>
      </c>
      <c r="J26" s="447">
        <f t="shared" si="10"/>
        <v>183.54326200674143</v>
      </c>
      <c r="K26" s="447">
        <f t="shared" si="11"/>
        <v>0</v>
      </c>
      <c r="L26" s="447">
        <f t="shared" si="12"/>
        <v>0</v>
      </c>
      <c r="M26" s="447">
        <f t="shared" si="13"/>
        <v>0</v>
      </c>
      <c r="N26" s="447">
        <f t="shared" si="14"/>
        <v>0</v>
      </c>
      <c r="O26" s="447">
        <f t="shared" si="15"/>
        <v>0</v>
      </c>
      <c r="P26" s="448">
        <f t="shared" si="16"/>
        <v>0</v>
      </c>
      <c r="Q26" s="446">
        <f t="shared" ca="1" si="17"/>
        <v>72990.317460527833</v>
      </c>
    </row>
    <row r="27" spans="1:17" s="452" customFormat="1">
      <c r="A27" s="450" t="s">
        <v>560</v>
      </c>
      <c r="B27" s="723">
        <f t="shared" ca="1" si="2"/>
        <v>5.163941217031101</v>
      </c>
      <c r="C27" s="451">
        <f t="shared" ca="1" si="3"/>
        <v>0</v>
      </c>
      <c r="D27" s="451">
        <f t="shared" si="4"/>
        <v>5.8664558493685535</v>
      </c>
      <c r="E27" s="451">
        <f t="shared" si="5"/>
        <v>461.59671088929656</v>
      </c>
      <c r="F27" s="451">
        <f t="shared" si="6"/>
        <v>0</v>
      </c>
      <c r="G27" s="451">
        <f t="shared" si="7"/>
        <v>153651.79912448977</v>
      </c>
      <c r="H27" s="451">
        <f t="shared" si="8"/>
        <v>18847.980036612043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172972.40626905751</v>
      </c>
    </row>
    <row r="28" spans="1:17">
      <c r="A28" s="446" t="s">
        <v>550</v>
      </c>
      <c r="B28" s="447">
        <f t="shared" ca="1" si="2"/>
        <v>11.716674370705171</v>
      </c>
      <c r="C28" s="447">
        <f t="shared" ca="1" si="3"/>
        <v>0</v>
      </c>
      <c r="D28" s="447">
        <f t="shared" si="4"/>
        <v>0</v>
      </c>
      <c r="E28" s="447">
        <f t="shared" si="5"/>
        <v>0</v>
      </c>
      <c r="F28" s="447">
        <f t="shared" si="6"/>
        <v>0</v>
      </c>
      <c r="G28" s="447">
        <f t="shared" si="7"/>
        <v>3000.1563605053411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3011.8730348760464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1510.9124523894736</v>
      </c>
      <c r="C32" s="447">
        <f t="shared" ca="1" si="3"/>
        <v>0</v>
      </c>
      <c r="D32" s="447">
        <f t="shared" si="4"/>
        <v>8326.0573366177214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9836.9697890071948</v>
      </c>
    </row>
    <row r="33" spans="1:17" s="459" customFormat="1">
      <c r="A33" s="456" t="s">
        <v>554</v>
      </c>
      <c r="B33" s="457">
        <f ca="1">SUM(B22:B32)</f>
        <v>89942.390347654044</v>
      </c>
      <c r="C33" s="457">
        <f t="shared" ref="C33:Q33" ca="1" si="18">SUM(C22:C32)</f>
        <v>217.70168067226894</v>
      </c>
      <c r="D33" s="457">
        <f t="shared" ca="1" si="18"/>
        <v>166830.90867544964</v>
      </c>
      <c r="E33" s="457">
        <f t="shared" si="18"/>
        <v>2168.6560493752804</v>
      </c>
      <c r="F33" s="457">
        <f t="shared" ca="1" si="18"/>
        <v>58920.183245393346</v>
      </c>
      <c r="G33" s="457">
        <f t="shared" si="18"/>
        <v>156651.95548499512</v>
      </c>
      <c r="H33" s="457">
        <f t="shared" si="18"/>
        <v>18847.980036612043</v>
      </c>
      <c r="I33" s="457">
        <f t="shared" si="18"/>
        <v>0</v>
      </c>
      <c r="J33" s="457">
        <f t="shared" si="18"/>
        <v>1205.322466586601</v>
      </c>
      <c r="K33" s="457">
        <f t="shared" si="18"/>
        <v>0</v>
      </c>
      <c r="L33" s="457">
        <f t="shared" ca="1" si="18"/>
        <v>0</v>
      </c>
      <c r="M33" s="457">
        <f t="shared" si="18"/>
        <v>0</v>
      </c>
      <c r="N33" s="457">
        <f t="shared" ca="1" si="18"/>
        <v>0</v>
      </c>
      <c r="O33" s="457">
        <f t="shared" si="18"/>
        <v>0</v>
      </c>
      <c r="P33" s="457">
        <f t="shared" si="18"/>
        <v>0</v>
      </c>
      <c r="Q33" s="457">
        <f t="shared" ca="1" si="18"/>
        <v>494785.09798673843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9932.805633004109</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15604.723753124199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641.25</v>
      </c>
      <c r="D8" s="977">
        <f>'SEAP template'!D76</f>
        <v>754.41176470588255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152.39117647058828</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25537.529386128306</v>
      </c>
      <c r="C10" s="981">
        <f>SUM(C4:C9)</f>
        <v>641.25</v>
      </c>
      <c r="D10" s="981">
        <f t="shared" ref="D10:H10" si="0">SUM(D8:D9)</f>
        <v>754.41176470588255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152.39117647058828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0.20797449460001763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916.07142857142856</v>
      </c>
      <c r="D17" s="978">
        <f>'SEAP template'!D87</f>
        <v>1077.7310924369749</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217.70168067226894</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916.07142857142856</v>
      </c>
      <c r="D20" s="981">
        <f t="shared" ref="D20:H20" si="2">SUM(D17:D19)</f>
        <v>1077.7310924369749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217.70168067226894</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0.20797449460001763</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2</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3.1266666666666669</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2022-07-26T12:29:41Z</dcterms:modified>
</cp:coreProperties>
</file>