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8F0A936F-5675-4D2B-AF55-9A9B3121765C}"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<sst xmlns="http://schemas.openxmlformats.org/spreadsheetml/2006/main" count="2492" uniqueCount="942">
  <si>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</si>
  <si>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</si>
  <si>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</si>
  <si>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</si>
  <si>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</si>
  <si>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</si>
  <si>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</si>
  <si>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</si>
  <si>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</si>
  <si>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</si>
  <si>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</si>
  <si>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</si>
  <si>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</si>
  <si>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</si>
  <si>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</si>
  <si>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</si>
  <si>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</si>
  <si>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</si>
  <si>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</si>
  <si>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</si>
  <si>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</si>
  <si>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</si>
  <si>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</si>
  <si>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</si>
  <si>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</si>
  <si>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</si>
  <si>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</si>
  <si>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</si>
  <si>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</si>
  <si>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</si>
  <si>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</si>
  <si>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</si>
  <si>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</si>
  <si>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</si>
  <si>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</si>
  <si>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</si>
  <si>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</si>
  <si>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</si>
  <si>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</si>
  <si>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</si>
  <si>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</si>
  <si>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</si>
  <si>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</si>
  <si>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</si>
  <si>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</si>
  <si>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</si>
  <si>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</si>
  <si>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</si>
  <si>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</si>
  <si>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</si>
  <si>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</si>
  <si>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</si>
  <si>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</si>
  <si>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</si>
  <si>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</si>
  <si>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</si>
  <si>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</si>
  <si>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</si>
  <si>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</si>
  <si>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</si>
  <si>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</si>
  <si>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</si>
  <si>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</si>
  <si>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</si>
  <si>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</si>
  <si>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</si>
  <si>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</si>
  <si>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</si>
  <si>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</si>
  <si>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</si>
  <si>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</si>
  <si>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</si>
  <si>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</si>
  <si>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</si>
  <si>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</si>
  <si>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</si>
  <si>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</si>
  <si>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</si>
  <si>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</si>
  <si>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</si>
  <si>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</si>
  <si>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</si>
  <si>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</si>
  <si>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</si>
  <si>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</si>
  <si>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</si>
  <si>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</si>
  <si>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</si>
  <si>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</si>
  <si>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</si>
  <si>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</si>
  <si>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</si>
  <si>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</si>
  <si>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</si>
  <si>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</si>
  <si>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</si>
  <si>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</si>
  <si>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</si>
  <si>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</si>
  <si>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</si>
  <si>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</si>
  <si>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</si>
  <si>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</si>
  <si>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</si>
  <si>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</si>
  <si>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</si>
  <si>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</si>
  <si>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</si>
  <si>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</si>
  <si>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</si>
  <si>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</si>
  <si>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</si>
  <si>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</si>
  <si>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</si>
  <si>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</si>
  <si>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</si>
  <si>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</si>
  <si>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</si>
  <si>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</si>
  <si>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</si>
  <si>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</si>
  <si>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</si>
  <si>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</si>
  <si>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</si>
  <si>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</si>
  <si>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</si>
  <si>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</si>
  <si>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</si>
  <si>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</si>
  <si>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</si>
  <si>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</si>
  <si>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</si>
  <si>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</si>
  <si>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</si>
  <si>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</si>
  <si>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</si>
  <si>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</si>
  <si>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</si>
  <si>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</si>
  <si>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</si>
  <si>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</si>
  <si>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</si>
  <si>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</si>
  <si>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</si>
  <si>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</si>
  <si>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</si>
  <si>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</si>
  <si>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</si>
  <si>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</si>
  <si>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</si>
  <si>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</si>
  <si>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</si>
  <si>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</si>
  <si>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</si>
  <si>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</si>
  <si>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</si>
  <si>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</si>
  <si>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</si>
  <si>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</si>
  <si>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</si>
  <si>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</si>
  <si>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</si>
  <si>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</si>
  <si>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</si>
  <si>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</si>
  <si>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</si>
  <si>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</si>
  <si>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</si>
  <si>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</si>
  <si>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</si>
  <si>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</si>
  <si>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</si>
  <si>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</si>
  <si>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</si>
  <si>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</si>
  <si>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</si>
  <si>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</si>
  <si>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</si>
  <si>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</si>
  <si>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</si>
  <si>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</si>
  <si>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</si>
  <si>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</si>
  <si>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</si>
  <si>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</si>
  <si>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</si>
  <si>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</si>
  <si>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</si>
  <si>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</si>
  <si>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</si>
  <si>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</si>
  <si>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</si>
  <si>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</si>
  <si>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</si>
  <si>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</si>
  <si>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</si>
  <si>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</si>
  <si>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</si>
  <si>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</si>
  <si>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</si>
  <si>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</si>
  <si>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</si>
  <si>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</si>
  <si>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</si>
  <si>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</si>
  <si>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</si>
  <si>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</si>
  <si>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</si>
  <si>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</si>
  <si>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</si>
  <si>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</si>
  <si>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</si>
  <si>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</si>
  <si>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</si>
  <si>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</si>
  <si>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</si>
  <si>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</si>
  <si>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</si>
  <si>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</si>
  <si>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</si>
  <si>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</si>
  <si>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</si>
  <si>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</si>
  <si>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</si>
  <si>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</si>
  <si>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</si>
  <si>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</si>
  <si>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</si>
  <si>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</si>
  <si>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</si>
  <si>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</si>
  <si>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</si>
  <si>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</si>
  <si>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</si>
  <si>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</si>
  <si>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</si>
  <si>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</si>
  <si>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</si>
  <si>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</si>
  <si>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</si>
  <si>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</si>
  <si>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</si>
  <si>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</si>
  <si>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</si>
  <si>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</si>
  <si>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</si>
  <si>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</si>
  <si>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</si>
  <si>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</si>
  <si>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</si>
  <si>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</si>
  <si>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</si>
  <si>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</si>
  <si>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</si>
  <si>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</si>
  <si>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</si>
  <si>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</si>
  <si>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</si>
  <si>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</si>
  <si>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</si>
  <si>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</si>
  <si>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</si>
  <si>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</si>
  <si>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</si>
  <si>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</si>
  <si>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</si>
  <si>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</si>
  <si>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</si>
  <si>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</si>
  <si>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</si>
  <si>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</si>
  <si>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</si>
  <si>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</si>
  <si>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</si>
  <si>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</si>
  <si>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</si>
  <si>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</si>
  <si>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</si>
  <si>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</si>
  <si>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</si>
  <si>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</si>
  <si>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</si>
  <si>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</si>
  <si>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</si>
  <si>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</si>
  <si>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</si>
  <si>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</si>
  <si>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</si>
  <si>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</si>
  <si>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</si>
  <si>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</si>
  <si>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</si>
  <si>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</si>
  <si>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</si>
  <si>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</si>
  <si>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</si>
  <si>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</si>
  <si>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</si>
  <si>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</si>
  <si>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</si>
  <si>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</si>
  <si>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</si>
  <si>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</si>
  <si>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</si>
  <si>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</si>
  <si>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</si>
  <si>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</si>
  <si>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</si>
  <si>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</si>
  <si>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</si>
  <si>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</si>
  <si>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</si>
  <si>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</si>
  <si>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</si>
  <si>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</si>
  <si>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</si>
  <si>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</si>
  <si>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</si>
  <si>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</si>
  <si>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</si>
  <si>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</si>
  <si>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</si>
  <si>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</si>
  <si>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</si>
  <si>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</si>
  <si>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</si>
  <si>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</si>
  <si>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</si>
  <si>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</si>
  <si>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</si>
  <si>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</si>
  <si>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</si>
  <si>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</si>
  <si>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</si>
  <si>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</si>
  <si>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</si>
  <si>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</si>
  <si>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</si>
  <si>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</si>
  <si>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</si>
  <si>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</si>
  <si>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</si>
  <si>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</si>
  <si>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</si>
  <si>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</si>
  <si>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</si>
  <si>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</si>
  <si>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</si>
  <si>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</si>
  <si>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</si>
  <si>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</si>
  <si>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</si>
  <si>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</si>
  <si>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</si>
  <si>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</si>
  <si>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</si>
  <si>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</si>
  <si>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</si>
  <si>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</si>
  <si>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</si>
  <si>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</si>
  <si>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</si>
  <si>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</si>
  <si>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</si>
  <si>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</si>
  <si>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</si>
  <si>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</si>
  <si>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</si>
  <si>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</si>
  <si>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</si>
  <si>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</si>
  <si>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</si>
  <si>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</si>
  <si>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</si>
  <si>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</si>
  <si>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</si>
  <si>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</si>
  <si>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</si>
  <si>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</si>
  <si>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</si>
  <si>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</si>
  <si>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</si>
  <si>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</si>
  <si>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</si>
  <si>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</si>
  <si>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</si>
  <si>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</si>
  <si>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</si>
  <si>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</si>
  <si>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</si>
  <si>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</si>
  <si>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</si>
  <si>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</si>
  <si>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</si>
  <si>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</si>
  <si>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</si>
  <si>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</si>
  <si>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</si>
  <si>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</si>
  <si>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</si>
  <si>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</si>
  <si>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</si>
  <si>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</si>
  <si>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</si>
  <si>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</si>
  <si>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</si>
  <si>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</si>
  <si>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</si>
  <si>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</si>
  <si>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</si>
  <si>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</si>
  <si>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</si>
  <si>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</si>
  <si>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</si>
  <si>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</si>
  <si>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</si>
  <si>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</si>
  <si>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</si>
  <si>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</si>
  <si>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</si>
  <si>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</si>
  <si>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</si>
  <si>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</si>
  <si>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</si>
  <si>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</si>
  <si>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</si>
  <si>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</si>
  <si>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</si>
  <si>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</si>
  <si>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</si>
  <si>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</si>
  <si>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</si>
  <si>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</si>
  <si>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</si>
  <si>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</si>
  <si>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</si>
  <si>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</si>
  <si>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</si>
  <si>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</si>
  <si>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</si>
  <si>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</si>
  <si>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</si>
  <si>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</si>
  <si>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</si>
  <si>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</si>
  <si>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</si>
  <si>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</si>
  <si>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</si>
  <si>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</si>
  <si>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</si>
  <si>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</si>
  <si>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</si>
  <si>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</si>
  <si>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</si>
  <si>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</si>
  <si>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</si>
  <si>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</si>
  <si>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</si>
  <si>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</si>
  <si>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</si>
  <si>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</si>
  <si>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</si>
  <si>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</si>
  <si>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</si>
  <si>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</si>
  <si>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</si>
  <si>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</si>
  <si>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</si>
  <si>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</si>
  <si>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</si>
  <si>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</si>
  <si>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</si>
  <si>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</si>
  <si>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</si>
  <si>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</si>
  <si>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</si>
  <si>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</si>
  <si>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</si>
  <si>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</si>
  <si>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</si>
  <si>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</si>
  <si>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</si>
  <si>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</si>
  <si>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</si>
  <si>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</si>
  <si>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</si>
  <si>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</si>
  <si>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</si>
  <si>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</si>
  <si>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</si>
  <si>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</si>
  <si>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</si>
  <si>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</si>
  <si>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</si>
  <si>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</si>
  <si>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</si>
  <si>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</si>
  <si>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</si>
  <si>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</si>
  <si>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</si>
  <si>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</si>
  <si>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</si>
  <si>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</si>
  <si>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</si>
  <si>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</si>
  <si>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</si>
  <si>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</si>
  <si>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</si>
  <si>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</si>
  <si>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</si>
  <si>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</si>
  <si>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</si>
  <si>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</si>
  <si>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</si>
  <si>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</si>
  <si>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</si>
  <si>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</si>
  <si>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</si>
  <si>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</si>
  <si>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</si>
  <si>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</si>
  <si>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</si>
  <si>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</si>
  <si>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</si>
  <si>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</si>
  <si>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</si>
  <si>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</si>
  <si>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</si>
  <si>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</si>
  <si>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</si>
  <si>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</si>
  <si>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</si>
  <si>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</si>
  <si>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</si>
  <si>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</si>
  <si>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</si>
  <si>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</si>
  <si>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</si>
  <si>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</si>
  <si>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</si>
  <si>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</si>
  <si>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</si>
  <si>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</si>
  <si>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</si>
  <si>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</si>
  <si>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</si>
  <si>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</si>
  <si>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</si>
  <si>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</si>
  <si>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</si>
  <si>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</si>
  <si>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</si>
  <si>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</si>
  <si>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</si>
  <si>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</si>
  <si>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</si>
  <si>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</si>
  <si>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</si>
  <si>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</si>
  <si>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</si>
  <si>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</si>
  <si>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</si>
  <si>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</si>
  <si>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</si>
  <si>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</si>
  <si>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</si>
  <si>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</si>
  <si>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</si>
  <si>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</si>
  <si>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</si>
  <si>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</si>
  <si>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</si>
  <si>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</si>
  <si>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</si>
  <si>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</si>
  <si>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</si>
  <si>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</si>
  <si>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</si>
  <si>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</si>
  <si>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</si>
  <si>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</si>
  <si>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</si>
  <si>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</si>
  <si>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</si>
  <si>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</si>
  <si>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</si>
  <si>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</si>
  <si>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</si>
  <si>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</si>
  <si>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</si>
  <si>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</si>
  <si>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</si>
  <si>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</si>
  <si>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</si>
  <si>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</si>
  <si>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</si>
  <si>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</si>
  <si>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</si>
  <si>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</si>
  <si>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</si>
  <si>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</si>
  <si>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</si>
  <si>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</si>
  <si>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</si>
  <si>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</si>
  <si>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</si>
  <si>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</si>
  <si>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</si>
  <si>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</si>
  <si>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</si>
  <si>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</si>
  <si>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</si>
  <si>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</si>
  <si>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</si>
  <si>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</si>
  <si>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</si>
  <si>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</si>
  <si>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</si>
  <si>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</si>
  <si>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</si>
  <si>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</si>
  <si>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</si>
  <si>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</si>
  <si>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</si>
  <si>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</si>
  <si>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</si>
  <si>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</si>
  <si>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</si>
  <si>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</si>
  <si>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</si>
  <si>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</si>
  <si>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</si>
  <si>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</si>
  <si>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</si>
  <si>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</si>
  <si>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</si>
  <si>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</si>
  <si>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</si>
  <si>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</si>
  <si>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</si>
  <si>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</si>
  <si>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</si>
  <si>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</si>
  <si>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</si>
  <si>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</si>
  <si>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</si>
  <si>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</si>
  <si>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</si>
  <si>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</si>
  <si>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</si>
  <si>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</si>
  <si>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</si>
  <si>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</si>
  <si>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</si>
  <si>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</si>
  <si>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</si>
  <si>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</si>
  <si>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</si>
  <si>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</si>
  <si>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</si>
  <si>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</si>
  <si>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</si>
  <si>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</si>
  <si>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</si>
  <si>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</si>
  <si>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</si>
  <si>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</si>
  <si>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</si>
  <si>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</si>
  <si>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</si>
  <si>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</si>
  <si>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</si>
  <si>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</si>
  <si>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</si>
  <si>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</si>
  <si>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</si>
  <si>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</si>
  <si>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</si>
  <si>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</si>
  <si>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</si>
  <si>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</si>
  <si>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</si>
  <si>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</si>
  <si>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</si>
  <si>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</si>
  <si>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</si>
  <si>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</si>
  <si>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</si>
  <si>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</si>
  <si>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</si>
  <si>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</si>
  <si>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</si>
  <si>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</si>
  <si>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</si>
  <si>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</si>
  <si>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</si>
  <si>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</si>
  <si>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</si>
  <si>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</si>
  <si>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</si>
  <si>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</si>
  <si>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</si>
  <si>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</si>
  <si>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</si>
  <si>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</si>
  <si>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</si>
  <si>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</si>
  <si>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</si>
  <si>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</si>
  <si>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</si>
  <si>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</si>
  <si>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</si>
  <si>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</si>
  <si>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</si>
  <si>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</si>
  <si>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</si>
  <si>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</si>
  <si>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</si>
  <si>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</si>
  <si>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</si>
  <si>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</si>
  <si>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</si>
  <si>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</si>
  <si>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</si>
  <si>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</si>
  <si>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</si>
  <si>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</si>
  <si>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</si>
  <si>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</si>
  <si>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</si>
  <si>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</si>
  <si>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</si>
  <si>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</si>
  <si>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</si>
  <si>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</si>
  <si>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</si>
  <si>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</si>
  <si>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</si>
  <si>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</si>
  <si>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</si>
  <si>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</si>
  <si>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</si>
  <si>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</si>
  <si>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</si>
  <si>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</si>
  <si>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</si>
  <si>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</si>
  <si>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</si>
  <si>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</si>
  <si>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</si>
  <si>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</si>
  <si>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</si>
  <si>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</si>
  <si>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</si>
  <si>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</si>
  <si>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</si>
  <si>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</si>
  <si>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</si>
  <si>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</si>
  <si>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</si>
  <si>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</si>
  <si>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</si>
  <si>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</si>
  <si>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</si>
  <si>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</si>
  <si>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</si>
  <si>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</si>
  <si>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</si>
  <si>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</si>
  <si>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</si>
  <si>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</si>
  <si>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</si>
  <si>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</si>
  <si>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</si>
  <si>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</si>
  <si>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</si>
  <si>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</si>
  <si>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</si>
  <si>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</si>
  <si>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</si>
  <si>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</si>
  <si>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</si>
  <si>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</si>
  <si>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</si>
  <si>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</si>
  <si>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</si>
  <si>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</si>
  <si>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</si>
  <si>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</si>
  <si>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</si>
  <si>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</si>
  <si>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</si>
  <si>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</si>
  <si>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</si>
  <si>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</si>
  <si>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</si>
  <si>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</si>
  <si>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</si>
  <si>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</si>
  <si>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</si>
  <si>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</si>
  <si>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</si>
  <si>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</si>
  <si>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</si>
  <si>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</si>
  <si>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</si>
  <si>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</si>
  <si>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</si>
  <si>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</si>
  <si>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</si>
  <si>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</si>
  <si>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</si>
  <si>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</si>
  <si>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</si>
  <si>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</si>
  <si>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</si>
  <si>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</si>
  <si>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</si>
  <si>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</si>
  <si>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</si>
  <si>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</si>
  <si>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</si>
  <si>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</si>
  <si>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</si>
  <si>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</si>
  <si>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</si>
  <si>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</si>
  <si>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</si>
  <si>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</si>
  <si>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</si>
  <si>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</si>
  <si>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</si>
  <si>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</si>
  <si>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</si>
  <si>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</si>
  <si>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</si>
  <si>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</si>
  <si>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</si>
  <si>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</si>
  <si>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</si>
  <si>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</si>
  <si>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</si>
  <si>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</si>
  <si>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</si>
  <si>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</si>
  <si>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</si>
  <si>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</si>
  <si>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</si>
  <si>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</si>
  <si>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</si>
  <si>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</si>
  <si>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</si>
  <si>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</si>
  <si>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</si>
  <si>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</si>
  <si>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</si>
  <si>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</si>
  <si>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</si>
  <si>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</si>
  <si>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</si>
  <si>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</si>
  <si>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</si>
  <si>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</si>
  <si>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</si>
  <si>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</si>
  <si>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</si>
  <si>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</si>
  <si>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</si>
  <si>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</si>
  <si>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</si>
  <si>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</si>
  <si>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</si>
  <si>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</si>
  <si>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</si>
  <si>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</si>
  <si>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</si>
  <si>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</si>
  <si>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</si>
  <si>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</si>
  <si>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</si>
  <si>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</si>
  <si>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</si>
  <si>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</si>
  <si>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</si>
  <si>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</si>
  <si>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</si>
  <si>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</si>
  <si>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</si>
  <si>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</si>
  <si>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</si>
  <si>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</si>
  <si>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</si>
  <si>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</si>
  <si>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</si>
  <si>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</si>
  <si>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</si>
  <si>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</si>
  <si>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</si>
  <si>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</si>
  <si>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</si>
  <si>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</si>
  <si>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</si>
  <si>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</si>
  <si>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</si>
  <si>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</si>
  <si>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</si>
  <si>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</si>
  <si>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</si>
  <si>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</si>
  <si>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</si>
  <si>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</si>
  <si>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</si>
  <si>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</si>
  <si>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</si>
  <si>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</si>
  <si>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</si>
  <si>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</si>
  <si>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</si>
  <si>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</si>
  <si>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</si>
  <si>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</si>
  <si>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</si>
  <si>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</si>
  <si>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</si>
  <si>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</si>
  <si>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</si>
  <si>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</si>
  <si>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</si>
  <si>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</si>
  <si>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</si>
  <si>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</si>
  <si>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</si>
  <si>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</si>
  <si>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</si>
  <si>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</si>
  <si>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</si>
  <si>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</si>
  <si>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34002</t>
  </si>
  <si>
    <t>ANZEGEM</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</si>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</sst>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74174E41-63B4-48AC-AC82-220037AACDF4}"/>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34002</v>
      </c>
      <c r="B6" s="384"/>
      <c r="C6" s="385"/>
    </row>
    <row r="7" spans="1:7" s="382" customFormat="1" ht="15.75" customHeight="1">
      <c r="A7" s="386" t="str">
        <f>txtMunicipality</f>
        <v>ANZEGEM</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0.20084569720719614</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0.20084569720719614</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5699</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2688</v>
      </c>
      <c r="C14" s="327"/>
      <c r="D14" s="327"/>
      <c r="E14" s="327"/>
      <c r="F14" s="327"/>
    </row>
    <row r="15" spans="1:6">
      <c r="A15" s="1258" t="s">
        <v>177</v>
      </c>
      <c r="B15" s="1259">
        <v>38</v>
      </c>
      <c r="C15" s="327"/>
      <c r="D15" s="327"/>
      <c r="E15" s="327"/>
      <c r="F15" s="327"/>
    </row>
    <row r="16" spans="1:6">
      <c r="A16" s="1258" t="s">
        <v>6</v>
      </c>
      <c r="B16" s="1259">
        <v>935</v>
      </c>
      <c r="C16" s="327"/>
      <c r="D16" s="327"/>
      <c r="E16" s="327"/>
      <c r="F16" s="327"/>
    </row>
    <row r="17" spans="1:6">
      <c r="A17" s="1258" t="s">
        <v>7</v>
      </c>
      <c r="B17" s="1259">
        <v>764</v>
      </c>
      <c r="C17" s="327"/>
      <c r="D17" s="327"/>
      <c r="E17" s="327"/>
      <c r="F17" s="327"/>
    </row>
    <row r="18" spans="1:6">
      <c r="A18" s="1258" t="s">
        <v>8</v>
      </c>
      <c r="B18" s="1259">
        <v>1003</v>
      </c>
      <c r="C18" s="327"/>
      <c r="D18" s="327"/>
      <c r="E18" s="327"/>
      <c r="F18" s="327"/>
    </row>
    <row r="19" spans="1:6">
      <c r="A19" s="1258" t="s">
        <v>9</v>
      </c>
      <c r="B19" s="1259">
        <v>1096</v>
      </c>
      <c r="C19" s="327"/>
      <c r="D19" s="327"/>
      <c r="E19" s="327"/>
      <c r="F19" s="327"/>
    </row>
    <row r="20" spans="1:6">
      <c r="A20" s="1258" t="s">
        <v>10</v>
      </c>
      <c r="B20" s="1259">
        <v>738</v>
      </c>
      <c r="C20" s="327"/>
      <c r="D20" s="327"/>
      <c r="E20" s="327"/>
      <c r="F20" s="327"/>
    </row>
    <row r="21" spans="1:6">
      <c r="A21" s="1258" t="s">
        <v>11</v>
      </c>
      <c r="B21" s="1259">
        <v>2909</v>
      </c>
      <c r="C21" s="327"/>
      <c r="D21" s="327"/>
      <c r="E21" s="327"/>
      <c r="F21" s="327"/>
    </row>
    <row r="22" spans="1:6">
      <c r="A22" s="1258" t="s">
        <v>12</v>
      </c>
      <c r="B22" s="1259">
        <v>12184</v>
      </c>
      <c r="C22" s="327"/>
      <c r="D22" s="327"/>
      <c r="E22" s="327"/>
      <c r="F22" s="327"/>
    </row>
    <row r="23" spans="1:6">
      <c r="A23" s="1258" t="s">
        <v>13</v>
      </c>
      <c r="B23" s="1259">
        <v>109</v>
      </c>
      <c r="C23" s="327"/>
      <c r="D23" s="327"/>
      <c r="E23" s="327"/>
      <c r="F23" s="327"/>
    </row>
    <row r="24" spans="1:6">
      <c r="A24" s="1258" t="s">
        <v>14</v>
      </c>
      <c r="B24" s="1259">
        <v>9</v>
      </c>
      <c r="C24" s="327"/>
      <c r="D24" s="327"/>
      <c r="E24" s="327"/>
      <c r="F24" s="327"/>
    </row>
    <row r="25" spans="1:6">
      <c r="A25" s="1258" t="s">
        <v>15</v>
      </c>
      <c r="B25" s="1259">
        <v>812</v>
      </c>
      <c r="C25" s="327"/>
      <c r="D25" s="327"/>
      <c r="E25" s="327"/>
      <c r="F25" s="327"/>
    </row>
    <row r="26" spans="1:6">
      <c r="A26" s="1258" t="s">
        <v>16</v>
      </c>
      <c r="B26" s="1259">
        <v>300</v>
      </c>
      <c r="C26" s="327"/>
      <c r="D26" s="327"/>
      <c r="E26" s="327"/>
      <c r="F26" s="327"/>
    </row>
    <row r="27" spans="1:6">
      <c r="A27" s="1258" t="s">
        <v>17</v>
      </c>
      <c r="B27" s="1259">
        <v>0</v>
      </c>
      <c r="C27" s="327"/>
      <c r="D27" s="327"/>
      <c r="E27" s="327"/>
      <c r="F27" s="327"/>
    </row>
    <row r="28" spans="1:6">
      <c r="A28" s="1258" t="s">
        <v>18</v>
      </c>
      <c r="B28" s="1260">
        <v>183520</v>
      </c>
      <c r="C28" s="327"/>
      <c r="D28" s="327"/>
      <c r="E28" s="327"/>
      <c r="F28" s="327"/>
    </row>
    <row r="29" spans="1:6">
      <c r="A29" s="1258" t="s">
        <v>939</v>
      </c>
      <c r="B29" s="1260">
        <v>48</v>
      </c>
      <c r="C29" s="327"/>
      <c r="D29" s="327"/>
      <c r="E29" s="327"/>
      <c r="F29" s="327"/>
    </row>
    <row r="30" spans="1:6">
      <c r="A30" s="1253" t="s">
        <v>940</v>
      </c>
      <c r="B30" s="1261">
        <v>16</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73</v>
      </c>
      <c r="F36" s="1259">
        <v>724120.62607850297</v>
      </c>
    </row>
    <row r="37" spans="1:6">
      <c r="A37" s="1258" t="s">
        <v>24</v>
      </c>
      <c r="B37" s="1258" t="s">
        <v>27</v>
      </c>
      <c r="C37" s="1259">
        <v>0</v>
      </c>
      <c r="D37" s="1259">
        <v>0</v>
      </c>
      <c r="E37" s="1259">
        <v>0</v>
      </c>
      <c r="F37" s="1259">
        <v>0</v>
      </c>
    </row>
    <row r="38" spans="1:6">
      <c r="A38" s="1258" t="s">
        <v>24</v>
      </c>
      <c r="B38" s="1258" t="s">
        <v>28</v>
      </c>
      <c r="C38" s="1259">
        <v>1</v>
      </c>
      <c r="D38" s="1259">
        <v>26092.064336111998</v>
      </c>
      <c r="E38" s="1259">
        <v>1</v>
      </c>
      <c r="F38" s="1259">
        <v>7300</v>
      </c>
    </row>
    <row r="39" spans="1:6">
      <c r="A39" s="1258" t="s">
        <v>29</v>
      </c>
      <c r="B39" s="1258" t="s">
        <v>30</v>
      </c>
      <c r="C39" s="1259">
        <v>1898</v>
      </c>
      <c r="D39" s="1259">
        <v>32262769.289303198</v>
      </c>
      <c r="E39" s="1259">
        <v>5459</v>
      </c>
      <c r="F39" s="1259">
        <v>28277914.888793401</v>
      </c>
    </row>
    <row r="40" spans="1:6">
      <c r="A40" s="1258" t="s">
        <v>29</v>
      </c>
      <c r="B40" s="1258" t="s">
        <v>28</v>
      </c>
      <c r="C40" s="1259">
        <v>0</v>
      </c>
      <c r="D40" s="1259">
        <v>0</v>
      </c>
      <c r="E40" s="1259">
        <v>0</v>
      </c>
      <c r="F40" s="1259">
        <v>0</v>
      </c>
    </row>
    <row r="41" spans="1:6">
      <c r="A41" s="1258" t="s">
        <v>31</v>
      </c>
      <c r="B41" s="1258" t="s">
        <v>32</v>
      </c>
      <c r="C41" s="1259">
        <v>32</v>
      </c>
      <c r="D41" s="1259">
        <v>684387.01816313097</v>
      </c>
      <c r="E41" s="1259">
        <v>174</v>
      </c>
      <c r="F41" s="1259">
        <v>2782927.6753740301</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14</v>
      </c>
      <c r="F44" s="1259">
        <v>280813.108579822</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6</v>
      </c>
      <c r="F47" s="1259">
        <v>105755.86866851</v>
      </c>
    </row>
    <row r="48" spans="1:6">
      <c r="A48" s="1258" t="s">
        <v>31</v>
      </c>
      <c r="B48" s="1258" t="s">
        <v>28</v>
      </c>
      <c r="C48" s="1259">
        <v>42</v>
      </c>
      <c r="D48" s="1259">
        <v>8823902.7208064497</v>
      </c>
      <c r="E48" s="1259">
        <v>58</v>
      </c>
      <c r="F48" s="1259">
        <v>24129165.4457797</v>
      </c>
    </row>
    <row r="49" spans="1:6">
      <c r="A49" s="1258" t="s">
        <v>31</v>
      </c>
      <c r="B49" s="1258" t="s">
        <v>39</v>
      </c>
      <c r="C49" s="1259">
        <v>4</v>
      </c>
      <c r="D49" s="1259">
        <v>4163717.94494014</v>
      </c>
      <c r="E49" s="1259">
        <v>46</v>
      </c>
      <c r="F49" s="1259">
        <v>3961389.3401731499</v>
      </c>
    </row>
    <row r="50" spans="1:6">
      <c r="A50" s="1258" t="s">
        <v>31</v>
      </c>
      <c r="B50" s="1258" t="s">
        <v>40</v>
      </c>
      <c r="C50" s="1259">
        <v>0</v>
      </c>
      <c r="D50" s="1259">
        <v>0</v>
      </c>
      <c r="E50" s="1259">
        <v>11</v>
      </c>
      <c r="F50" s="1259">
        <v>2327271.8248204398</v>
      </c>
    </row>
    <row r="51" spans="1:6">
      <c r="A51" s="1258" t="s">
        <v>41</v>
      </c>
      <c r="B51" s="1258" t="s">
        <v>42</v>
      </c>
      <c r="C51" s="1259">
        <v>0</v>
      </c>
      <c r="D51" s="1259">
        <v>0</v>
      </c>
      <c r="E51" s="1259">
        <v>101</v>
      </c>
      <c r="F51" s="1259">
        <v>1402550.5837908699</v>
      </c>
    </row>
    <row r="52" spans="1:6">
      <c r="A52" s="1258" t="s">
        <v>41</v>
      </c>
      <c r="B52" s="1258" t="s">
        <v>28</v>
      </c>
      <c r="C52" s="1259">
        <v>5</v>
      </c>
      <c r="D52" s="1259">
        <v>97534.138711804204</v>
      </c>
      <c r="E52" s="1259">
        <v>19</v>
      </c>
      <c r="F52" s="1259">
        <v>345325.58895184699</v>
      </c>
    </row>
    <row r="53" spans="1:6">
      <c r="A53" s="1258" t="s">
        <v>43</v>
      </c>
      <c r="B53" s="1258" t="s">
        <v>44</v>
      </c>
      <c r="C53" s="1259">
        <v>48</v>
      </c>
      <c r="D53" s="1259">
        <v>1099346.58978512</v>
      </c>
      <c r="E53" s="1259">
        <v>140</v>
      </c>
      <c r="F53" s="1259">
        <v>831128.68491887604</v>
      </c>
    </row>
    <row r="54" spans="1:6">
      <c r="A54" s="1258" t="s">
        <v>45</v>
      </c>
      <c r="B54" s="1258" t="s">
        <v>46</v>
      </c>
      <c r="C54" s="1259">
        <v>0</v>
      </c>
      <c r="D54" s="1259">
        <v>0</v>
      </c>
      <c r="E54" s="1259">
        <v>1</v>
      </c>
      <c r="F54" s="1259">
        <v>1319186</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17</v>
      </c>
      <c r="D57" s="1259">
        <v>320649.03441169002</v>
      </c>
      <c r="E57" s="1259">
        <v>45</v>
      </c>
      <c r="F57" s="1259">
        <v>392721.82442335901</v>
      </c>
    </row>
    <row r="58" spans="1:6">
      <c r="A58" s="1258" t="s">
        <v>48</v>
      </c>
      <c r="B58" s="1258" t="s">
        <v>50</v>
      </c>
      <c r="C58" s="1259">
        <v>4</v>
      </c>
      <c r="D58" s="1259">
        <v>71846.107370567101</v>
      </c>
      <c r="E58" s="1259">
        <v>9</v>
      </c>
      <c r="F58" s="1259">
        <v>46561.6737585429</v>
      </c>
    </row>
    <row r="59" spans="1:6">
      <c r="A59" s="1258" t="s">
        <v>48</v>
      </c>
      <c r="B59" s="1258" t="s">
        <v>51</v>
      </c>
      <c r="C59" s="1259">
        <v>19</v>
      </c>
      <c r="D59" s="1259">
        <v>828069.25396868505</v>
      </c>
      <c r="E59" s="1259">
        <v>153</v>
      </c>
      <c r="F59" s="1259">
        <v>6471318.3826394305</v>
      </c>
    </row>
    <row r="60" spans="1:6">
      <c r="A60" s="1258" t="s">
        <v>48</v>
      </c>
      <c r="B60" s="1258" t="s">
        <v>52</v>
      </c>
      <c r="C60" s="1259">
        <v>14</v>
      </c>
      <c r="D60" s="1259">
        <v>507539.201207284</v>
      </c>
      <c r="E60" s="1259">
        <v>48</v>
      </c>
      <c r="F60" s="1259">
        <v>1011180.47468074</v>
      </c>
    </row>
    <row r="61" spans="1:6">
      <c r="A61" s="1258" t="s">
        <v>48</v>
      </c>
      <c r="B61" s="1258" t="s">
        <v>53</v>
      </c>
      <c r="C61" s="1259">
        <v>79</v>
      </c>
      <c r="D61" s="1259">
        <v>5523774.52443083</v>
      </c>
      <c r="E61" s="1259">
        <v>192</v>
      </c>
      <c r="F61" s="1259">
        <v>2459415.5537837702</v>
      </c>
    </row>
    <row r="62" spans="1:6">
      <c r="A62" s="1258" t="s">
        <v>48</v>
      </c>
      <c r="B62" s="1258" t="s">
        <v>54</v>
      </c>
      <c r="C62" s="1259">
        <v>3</v>
      </c>
      <c r="D62" s="1259">
        <v>339993.80178963899</v>
      </c>
      <c r="E62" s="1259">
        <v>13</v>
      </c>
      <c r="F62" s="1259">
        <v>181303.72895579701</v>
      </c>
    </row>
    <row r="63" spans="1:6">
      <c r="A63" s="1258" t="s">
        <v>48</v>
      </c>
      <c r="B63" s="1258" t="s">
        <v>28</v>
      </c>
      <c r="C63" s="1259">
        <v>97</v>
      </c>
      <c r="D63" s="1259">
        <v>3164767.8057322698</v>
      </c>
      <c r="E63" s="1259">
        <v>156</v>
      </c>
      <c r="F63" s="1259">
        <v>4894048.4740380403</v>
      </c>
    </row>
    <row r="64" spans="1:6">
      <c r="A64" s="1258" t="s">
        <v>55</v>
      </c>
      <c r="B64" s="1258" t="s">
        <v>56</v>
      </c>
      <c r="C64" s="1259">
        <v>0</v>
      </c>
      <c r="D64" s="1259">
        <v>0</v>
      </c>
      <c r="E64" s="1259">
        <v>0</v>
      </c>
      <c r="F64" s="1259">
        <v>0</v>
      </c>
    </row>
    <row r="65" spans="1:6">
      <c r="A65" s="1258" t="s">
        <v>55</v>
      </c>
      <c r="B65" s="1258" t="s">
        <v>28</v>
      </c>
      <c r="C65" s="1259">
        <v>1</v>
      </c>
      <c r="D65" s="1259">
        <v>157379.70974373299</v>
      </c>
      <c r="E65" s="1259">
        <v>2</v>
      </c>
      <c r="F65" s="1259">
        <v>10934.179434784501</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7</v>
      </c>
      <c r="F68" s="1261">
        <v>154626.13970646501</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59792997</v>
      </c>
      <c r="E73" s="445"/>
      <c r="F73" s="327"/>
    </row>
    <row r="74" spans="1:6">
      <c r="A74" s="1258" t="s">
        <v>63</v>
      </c>
      <c r="B74" s="1258" t="s">
        <v>724</v>
      </c>
      <c r="C74" s="1271" t="s">
        <v>718</v>
      </c>
      <c r="D74" s="1259">
        <v>6865045.8270616587</v>
      </c>
      <c r="E74" s="445"/>
      <c r="F74" s="327"/>
    </row>
    <row r="75" spans="1:6">
      <c r="A75" s="1258" t="s">
        <v>64</v>
      </c>
      <c r="B75" s="1258" t="s">
        <v>723</v>
      </c>
      <c r="C75" s="1271" t="s">
        <v>719</v>
      </c>
      <c r="D75" s="1259">
        <v>15433450</v>
      </c>
      <c r="E75" s="445"/>
      <c r="F75" s="327"/>
    </row>
    <row r="76" spans="1:6">
      <c r="A76" s="1258" t="s">
        <v>64</v>
      </c>
      <c r="B76" s="1258" t="s">
        <v>724</v>
      </c>
      <c r="C76" s="1271" t="s">
        <v>720</v>
      </c>
      <c r="D76" s="1259">
        <v>1059797.8270616585</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248106.34587668299</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2638.4508607489952</v>
      </c>
      <c r="C91" s="327"/>
      <c r="D91" s="327"/>
      <c r="E91" s="327"/>
      <c r="F91" s="327"/>
    </row>
    <row r="92" spans="1:6">
      <c r="A92" s="1253" t="s">
        <v>68</v>
      </c>
      <c r="B92" s="1254">
        <v>5009.7899324638383</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611</v>
      </c>
      <c r="C97" s="327"/>
      <c r="D97" s="327"/>
      <c r="E97" s="327"/>
      <c r="F97" s="327"/>
    </row>
    <row r="98" spans="1:6">
      <c r="A98" s="1258" t="s">
        <v>71</v>
      </c>
      <c r="B98" s="1259">
        <v>0</v>
      </c>
      <c r="C98" s="327"/>
      <c r="D98" s="327"/>
      <c r="E98" s="327"/>
      <c r="F98" s="327"/>
    </row>
    <row r="99" spans="1:6">
      <c r="A99" s="1258" t="s">
        <v>72</v>
      </c>
      <c r="B99" s="1259">
        <v>66</v>
      </c>
      <c r="C99" s="327"/>
      <c r="D99" s="327"/>
      <c r="E99" s="327"/>
      <c r="F99" s="327"/>
    </row>
    <row r="100" spans="1:6">
      <c r="A100" s="1258" t="s">
        <v>73</v>
      </c>
      <c r="B100" s="1259">
        <v>660</v>
      </c>
      <c r="C100" s="327"/>
      <c r="D100" s="327"/>
      <c r="E100" s="327"/>
      <c r="F100" s="327"/>
    </row>
    <row r="101" spans="1:6">
      <c r="A101" s="1258" t="s">
        <v>74</v>
      </c>
      <c r="B101" s="1259">
        <v>91</v>
      </c>
      <c r="C101" s="327"/>
      <c r="D101" s="327"/>
      <c r="E101" s="327"/>
      <c r="F101" s="327"/>
    </row>
    <row r="102" spans="1:6">
      <c r="A102" s="1258" t="s">
        <v>75</v>
      </c>
      <c r="B102" s="1259">
        <v>103</v>
      </c>
      <c r="C102" s="327"/>
      <c r="D102" s="327"/>
      <c r="E102" s="327"/>
      <c r="F102" s="327"/>
    </row>
    <row r="103" spans="1:6">
      <c r="A103" s="1258" t="s">
        <v>76</v>
      </c>
      <c r="B103" s="1259">
        <v>169</v>
      </c>
      <c r="C103" s="327"/>
      <c r="D103" s="327"/>
      <c r="E103" s="327"/>
      <c r="F103" s="327"/>
    </row>
    <row r="104" spans="1:6">
      <c r="A104" s="1258" t="s">
        <v>77</v>
      </c>
      <c r="B104" s="1259">
        <v>3410</v>
      </c>
      <c r="C104" s="327"/>
      <c r="D104" s="327"/>
      <c r="E104" s="327"/>
      <c r="F104" s="327"/>
    </row>
    <row r="105" spans="1:6">
      <c r="A105" s="1253" t="s">
        <v>78</v>
      </c>
      <c r="B105" s="1261">
        <v>3</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12</v>
      </c>
      <c r="C123" s="1259">
        <v>10</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74</v>
      </c>
      <c r="C129" s="327"/>
      <c r="D129" s="327"/>
      <c r="E129" s="327"/>
      <c r="F129" s="327"/>
    </row>
    <row r="130" spans="1:6">
      <c r="A130" s="1258" t="s">
        <v>284</v>
      </c>
      <c r="B130" s="1259">
        <v>1</v>
      </c>
      <c r="C130" s="327"/>
      <c r="D130" s="327"/>
      <c r="E130" s="327"/>
      <c r="F130" s="327"/>
    </row>
    <row r="131" spans="1:6">
      <c r="A131" s="1258" t="s">
        <v>285</v>
      </c>
      <c r="B131" s="1259">
        <v>1</v>
      </c>
      <c r="C131" s="327"/>
      <c r="D131" s="327"/>
      <c r="E131" s="327"/>
      <c r="F131" s="327"/>
    </row>
    <row r="132" spans="1:6">
      <c r="A132" s="1253" t="s">
        <v>286</v>
      </c>
      <c r="B132" s="1254">
        <v>13</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83866.022688889527</v>
      </c>
      <c r="C3" s="44" t="s">
        <v>163</v>
      </c>
      <c r="D3" s="44"/>
      <c r="E3" s="157"/>
      <c r="F3" s="44"/>
      <c r="G3" s="44"/>
      <c r="H3" s="44"/>
      <c r="I3" s="44"/>
      <c r="J3" s="44"/>
      <c r="K3" s="97"/>
    </row>
    <row r="4" spans="1:11">
      <c r="A4" s="352" t="s">
        <v>164</v>
      </c>
      <c r="B4" s="50">
        <f>IF(ISERROR('SEAP template'!B78+'SEAP template'!C78),0,'SEAP template'!B78+'SEAP template'!C78)</f>
        <v>7648.2407932128335</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0.20084569720719614</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1319.1859999999999</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1319.1859999999999</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0.20084569720719614</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264.95283191597224</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28277.914888793402</v>
      </c>
      <c r="C5" s="18">
        <f>IF(ISERROR('Eigen informatie GS &amp; warmtenet'!B57),0,'Eigen informatie GS &amp; warmtenet'!B57)</f>
        <v>0</v>
      </c>
      <c r="D5" s="31">
        <f>(SUM(HH_hh_gas_kWh,HH_rest_gas_kWh)/1000)*0.902</f>
        <v>29101.017898951486</v>
      </c>
      <c r="E5" s="18">
        <f>B32*B41</f>
        <v>2013.3375384275175</v>
      </c>
      <c r="F5" s="18">
        <f>B36*B45</f>
        <v>61380.816232111618</v>
      </c>
      <c r="G5" s="19"/>
      <c r="H5" s="18"/>
      <c r="I5" s="18"/>
      <c r="J5" s="18">
        <f>B35*B44+C35*C44</f>
        <v>1113.7335226419641</v>
      </c>
      <c r="K5" s="18"/>
      <c r="L5" s="18"/>
      <c r="M5" s="18"/>
      <c r="N5" s="18">
        <f>B34*B43+C34*C43</f>
        <v>8858.3162648758662</v>
      </c>
      <c r="O5" s="18">
        <f>B52*B53*B54</f>
        <v>131.32000000000002</v>
      </c>
      <c r="P5" s="18">
        <f>B60*B61*B62/1000-B60*B61*B62/1000/B63</f>
        <v>476.66666666666663</v>
      </c>
    </row>
    <row r="6" spans="1:16">
      <c r="A6" s="17" t="s">
        <v>597</v>
      </c>
      <c r="B6" s="731">
        <f>kWh_PV_kleiner_dan_10kW</f>
        <v>2638.4508607489952</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30916.365749542398</v>
      </c>
      <c r="C8" s="22">
        <f>C5</f>
        <v>0</v>
      </c>
      <c r="D8" s="22">
        <f>D5</f>
        <v>29101.017898951486</v>
      </c>
      <c r="E8" s="22">
        <f>E5</f>
        <v>2013.3375384275175</v>
      </c>
      <c r="F8" s="22">
        <f>F5</f>
        <v>61380.816232111618</v>
      </c>
      <c r="G8" s="22"/>
      <c r="H8" s="22"/>
      <c r="I8" s="22"/>
      <c r="J8" s="22">
        <f>J5</f>
        <v>1113.7335226419641</v>
      </c>
      <c r="K8" s="22"/>
      <c r="L8" s="22">
        <f>L5</f>
        <v>0</v>
      </c>
      <c r="M8" s="22">
        <f>M5</f>
        <v>0</v>
      </c>
      <c r="N8" s="22">
        <f>N5</f>
        <v>8858.3162648758662</v>
      </c>
      <c r="O8" s="22">
        <f>O5</f>
        <v>131.32000000000002</v>
      </c>
      <c r="P8" s="22">
        <f>P5</f>
        <v>476.66666666666663</v>
      </c>
    </row>
    <row r="9" spans="1:16">
      <c r="B9" s="20"/>
      <c r="C9" s="20"/>
      <c r="D9" s="258"/>
      <c r="E9" s="20"/>
      <c r="F9" s="20"/>
      <c r="G9" s="20"/>
      <c r="H9" s="20"/>
      <c r="I9" s="20"/>
      <c r="J9" s="20"/>
      <c r="K9" s="20"/>
      <c r="L9" s="20"/>
      <c r="M9" s="20"/>
      <c r="N9" s="20"/>
      <c r="O9" s="20"/>
      <c r="P9" s="20"/>
    </row>
    <row r="10" spans="1:16">
      <c r="A10" s="25" t="s">
        <v>207</v>
      </c>
      <c r="B10" s="26">
        <f ca="1">'EF ele_warmte'!B12</f>
        <v>0.20084569720719614</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6209.4190340795221</v>
      </c>
      <c r="C12" s="24">
        <f ca="1">C10*C8</f>
        <v>0</v>
      </c>
      <c r="D12" s="24">
        <f>D8*D10</f>
        <v>5878.4056155882008</v>
      </c>
      <c r="E12" s="24">
        <f>E10*E8</f>
        <v>457.02762122304648</v>
      </c>
      <c r="F12" s="24">
        <f>F10*F8</f>
        <v>16388.677933973802</v>
      </c>
      <c r="G12" s="24"/>
      <c r="H12" s="24"/>
      <c r="I12" s="24"/>
      <c r="J12" s="24">
        <f>J10*J8</f>
        <v>394.26166701525528</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5699</v>
      </c>
      <c r="C26" s="37"/>
      <c r="D26" s="228"/>
    </row>
    <row r="27" spans="1:5" s="16" customFormat="1">
      <c r="A27" s="230" t="s">
        <v>623</v>
      </c>
      <c r="B27" s="38">
        <f>SUM(HH_hh_gas_aantal,HH_rest_gas_aantal)</f>
        <v>1898</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1803.1</v>
      </c>
      <c r="C31" s="35" t="s">
        <v>104</v>
      </c>
      <c r="D31" s="174"/>
    </row>
    <row r="32" spans="1:5">
      <c r="A32" s="171" t="s">
        <v>72</v>
      </c>
      <c r="B32" s="34">
        <f>IF((B21*($B$26-($B$27-0.05*$B$27)-$B$60))&lt;0,0,B21*($B$26-($B$27-0.05*$B$27)-$B$60))</f>
        <v>95.128647097098593</v>
      </c>
      <c r="C32" s="35" t="s">
        <v>104</v>
      </c>
      <c r="D32" s="174"/>
    </row>
    <row r="33" spans="1:6">
      <c r="A33" s="171" t="s">
        <v>73</v>
      </c>
      <c r="B33" s="34">
        <f>IF((B22*($B$26-($B$27-0.05*$B$27)-$B$60))&lt;0,0,B22*($B$26-($B$27-0.05*$B$27)-$B$60))</f>
        <v>640.32736559895795</v>
      </c>
      <c r="C33" s="35" t="s">
        <v>104</v>
      </c>
      <c r="D33" s="174"/>
    </row>
    <row r="34" spans="1:6">
      <c r="A34" s="171" t="s">
        <v>74</v>
      </c>
      <c r="B34" s="34">
        <f>IF((B24*($B$26-($B$27-0.05*$B$27)-$B$60))&lt;0,0,B24*($B$26-($B$27-0.05*$B$27)-$B$60))</f>
        <v>162.4005167938052</v>
      </c>
      <c r="C34" s="34">
        <f>B26*C24</f>
        <v>1165.4587653860428</v>
      </c>
      <c r="D34" s="233"/>
    </row>
    <row r="35" spans="1:6">
      <c r="A35" s="171" t="s">
        <v>76</v>
      </c>
      <c r="B35" s="34">
        <f>IF((B19*($B$26-($B$27-0.05*$B$27)-$B$60))&lt;0,0,B19*($B$26-($B$27-0.05*$B$27)-$B$60))</f>
        <v>60.375372833539231</v>
      </c>
      <c r="C35" s="34">
        <f>B35/2</f>
        <v>30.187686416769616</v>
      </c>
      <c r="D35" s="233"/>
    </row>
    <row r="36" spans="1:6">
      <c r="A36" s="171" t="s">
        <v>77</v>
      </c>
      <c r="B36" s="34">
        <f>IF((B18*($B$26-($B$27-0.05*$B$27)-$B$60))&lt;0,0,B18*($B$26-($B$27-0.05*$B$27)-$B$60))</f>
        <v>2912.6680976765983</v>
      </c>
      <c r="C36" s="35" t="s">
        <v>104</v>
      </c>
      <c r="D36" s="174"/>
    </row>
    <row r="37" spans="1:6">
      <c r="A37" s="171" t="s">
        <v>78</v>
      </c>
      <c r="B37" s="34">
        <f>B60</f>
        <v>25</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84</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25</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15456.550112279681</v>
      </c>
      <c r="C5" s="18">
        <f>IF(ISERROR('Eigen informatie GS &amp; warmtenet'!B58),0,'Eigen informatie GS &amp; warmtenet'!B58)</f>
        <v>0</v>
      </c>
      <c r="D5" s="31">
        <f>SUM(D6:D12)</f>
        <v>9702.4890354776908</v>
      </c>
      <c r="E5" s="18">
        <f>SUM(E6:E12)</f>
        <v>135.84013323932317</v>
      </c>
      <c r="F5" s="18">
        <f>SUM(F6:F12)</f>
        <v>2916.3546229802955</v>
      </c>
      <c r="G5" s="19"/>
      <c r="H5" s="18"/>
      <c r="I5" s="18"/>
      <c r="J5" s="18">
        <f>SUM(J6:J12)</f>
        <v>0</v>
      </c>
      <c r="K5" s="18"/>
      <c r="L5" s="18"/>
      <c r="M5" s="18"/>
      <c r="N5" s="18">
        <f>SUM(N6:N12)</f>
        <v>519.02500503220438</v>
      </c>
      <c r="O5" s="18">
        <f>B38*B39*B40</f>
        <v>1.5633333333333335</v>
      </c>
      <c r="P5" s="18">
        <f>B46*B47*B48/1000-B46*B47*B48/1000/B49</f>
        <v>19.066666666666666</v>
      </c>
      <c r="R5" s="33"/>
    </row>
    <row r="6" spans="1:18">
      <c r="A6" s="33" t="s">
        <v>53</v>
      </c>
      <c r="B6" s="38">
        <f>B26</f>
        <v>2459.4155537837701</v>
      </c>
      <c r="C6" s="34"/>
      <c r="D6" s="38">
        <f>IF(ISERROR(TER_kantoor_gas_kWh/1000),0,TER_kantoor_gas_kWh/1000)*0.902</f>
        <v>4982.4446210366086</v>
      </c>
      <c r="E6" s="34">
        <f>$C$26*'E Balans VL '!I12/100/3.6*1000000</f>
        <v>4.0175292645516647</v>
      </c>
      <c r="F6" s="34">
        <f>$C$26*('E Balans VL '!L12+'E Balans VL '!N12)/100/3.6*1000000</f>
        <v>288.93713084651984</v>
      </c>
      <c r="G6" s="35"/>
      <c r="H6" s="34"/>
      <c r="I6" s="34"/>
      <c r="J6" s="34">
        <f>$C$26*('E Balans VL '!D12+'E Balans VL '!E12)/100/3.6*1000000</f>
        <v>0</v>
      </c>
      <c r="K6" s="34"/>
      <c r="L6" s="34"/>
      <c r="M6" s="34"/>
      <c r="N6" s="34">
        <f>$C$26*'E Balans VL '!Y12/100/3.6*1000000</f>
        <v>17.907690846389556</v>
      </c>
      <c r="O6" s="34"/>
      <c r="P6" s="34"/>
      <c r="R6" s="33"/>
    </row>
    <row r="7" spans="1:18">
      <c r="A7" s="33" t="s">
        <v>52</v>
      </c>
      <c r="B7" s="38">
        <f t="shared" ref="B7:B12" si="0">B27</f>
        <v>1011.1804746807401</v>
      </c>
      <c r="C7" s="34"/>
      <c r="D7" s="38">
        <f>IF(ISERROR(TER_horeca_gas_kWh/1000),0,TER_horeca_gas_kWh/1000)*0.902</f>
        <v>457.80035948897017</v>
      </c>
      <c r="E7" s="34">
        <f>$C$27*'E Balans VL '!I9/100/3.6*1000000</f>
        <v>52.315390045850776</v>
      </c>
      <c r="F7" s="34">
        <f>$C$27*('E Balans VL '!L9+'E Balans VL '!N9)/100/3.6*1000000</f>
        <v>230.05924302514515</v>
      </c>
      <c r="G7" s="35"/>
      <c r="H7" s="34"/>
      <c r="I7" s="34"/>
      <c r="J7" s="34">
        <f>$C$27*('E Balans VL '!D9+'E Balans VL '!E9)/100/3.6*1000000</f>
        <v>0</v>
      </c>
      <c r="K7" s="34"/>
      <c r="L7" s="34"/>
      <c r="M7" s="34"/>
      <c r="N7" s="34">
        <f>$C$27*'E Balans VL '!Y9/100/3.6*1000000</f>
        <v>0.10645963043515431</v>
      </c>
      <c r="O7" s="34"/>
      <c r="P7" s="34"/>
      <c r="R7" s="33"/>
    </row>
    <row r="8" spans="1:18">
      <c r="A8" s="6" t="s">
        <v>51</v>
      </c>
      <c r="B8" s="38">
        <f t="shared" si="0"/>
        <v>6471.3183826394306</v>
      </c>
      <c r="C8" s="34"/>
      <c r="D8" s="38">
        <f>IF(ISERROR(TER_handel_gas_kWh/1000),0,TER_handel_gas_kWh/1000)*0.902</f>
        <v>746.91846707975401</v>
      </c>
      <c r="E8" s="34">
        <f>$C$28*'E Balans VL '!I13/100/3.6*1000000</f>
        <v>33.992191812971036</v>
      </c>
      <c r="F8" s="34">
        <f>$C$28*('E Balans VL '!L13+'E Balans VL '!N13)/100/3.6*1000000</f>
        <v>1220.0602420550067</v>
      </c>
      <c r="G8" s="35"/>
      <c r="H8" s="34"/>
      <c r="I8" s="34"/>
      <c r="J8" s="34">
        <f>$C$28*('E Balans VL '!D13+'E Balans VL '!E13)/100/3.6*1000000</f>
        <v>0</v>
      </c>
      <c r="K8" s="34"/>
      <c r="L8" s="34"/>
      <c r="M8" s="34"/>
      <c r="N8" s="34">
        <f>$C$28*'E Balans VL '!Y13/100/3.6*1000000</f>
        <v>32.081846148314689</v>
      </c>
      <c r="O8" s="34"/>
      <c r="P8" s="34"/>
      <c r="R8" s="33"/>
    </row>
    <row r="9" spans="1:18">
      <c r="A9" s="33" t="s">
        <v>50</v>
      </c>
      <c r="B9" s="38">
        <f t="shared" si="0"/>
        <v>46.561673758542902</v>
      </c>
      <c r="C9" s="34"/>
      <c r="D9" s="38">
        <f>IF(ISERROR(TER_gezond_gas_kWh/1000),0,TER_gezond_gas_kWh/1000)*0.902</f>
        <v>64.805188848251518</v>
      </c>
      <c r="E9" s="34">
        <f>$C$29*'E Balans VL '!I10/100/3.6*1000000</f>
        <v>4.1334822821874458E-2</v>
      </c>
      <c r="F9" s="34">
        <f>$C$29*('E Balans VL '!L10+'E Balans VL '!N10)/100/3.6*1000000</f>
        <v>14.472076198649487</v>
      </c>
      <c r="G9" s="35"/>
      <c r="H9" s="34"/>
      <c r="I9" s="34"/>
      <c r="J9" s="34">
        <f>$C$29*('E Balans VL '!D10+'E Balans VL '!E10)/100/3.6*1000000</f>
        <v>0</v>
      </c>
      <c r="K9" s="34"/>
      <c r="L9" s="34"/>
      <c r="M9" s="34"/>
      <c r="N9" s="34">
        <f>$C$29*'E Balans VL '!Y10/100/3.6*1000000</f>
        <v>0.35940918289934004</v>
      </c>
      <c r="O9" s="34"/>
      <c r="P9" s="34"/>
      <c r="R9" s="33"/>
    </row>
    <row r="10" spans="1:18">
      <c r="A10" s="33" t="s">
        <v>49</v>
      </c>
      <c r="B10" s="38">
        <f t="shared" si="0"/>
        <v>392.72182442335901</v>
      </c>
      <c r="C10" s="34"/>
      <c r="D10" s="38">
        <f>IF(ISERROR(TER_ander_gas_kWh/1000),0,TER_ander_gas_kWh/1000)*0.902</f>
        <v>289.22542903934442</v>
      </c>
      <c r="E10" s="34">
        <f>$C$30*'E Balans VL '!I14/100/3.6*1000000</f>
        <v>3.2032099922514168</v>
      </c>
      <c r="F10" s="34">
        <f>$C$30*('E Balans VL '!L14+'E Balans VL '!N14)/100/3.6*1000000</f>
        <v>114.47112049584634</v>
      </c>
      <c r="G10" s="35"/>
      <c r="H10" s="34"/>
      <c r="I10" s="34"/>
      <c r="J10" s="34">
        <f>$C$30*('E Balans VL '!D14+'E Balans VL '!E14)/100/3.6*1000000</f>
        <v>0</v>
      </c>
      <c r="K10" s="34"/>
      <c r="L10" s="34"/>
      <c r="M10" s="34"/>
      <c r="N10" s="34">
        <f>$C$30*'E Balans VL '!Y14/100/3.6*1000000</f>
        <v>186.52536046645653</v>
      </c>
      <c r="O10" s="34"/>
      <c r="P10" s="34"/>
      <c r="R10" s="33"/>
    </row>
    <row r="11" spans="1:18">
      <c r="A11" s="33" t="s">
        <v>54</v>
      </c>
      <c r="B11" s="38">
        <f t="shared" si="0"/>
        <v>181.303728955797</v>
      </c>
      <c r="C11" s="34"/>
      <c r="D11" s="38">
        <f>IF(ISERROR(TER_onderwijs_gas_kWh/1000),0,TER_onderwijs_gas_kWh/1000)*0.902</f>
        <v>306.67440921425441</v>
      </c>
      <c r="E11" s="34">
        <f>$C$31*'E Balans VL '!I11/100/3.6*1000000</f>
        <v>0.15125560005203617</v>
      </c>
      <c r="F11" s="34">
        <f>$C$31*('E Balans VL '!L11+'E Balans VL '!N11)/100/3.6*1000000</f>
        <v>94.876488888800864</v>
      </c>
      <c r="G11" s="35"/>
      <c r="H11" s="34"/>
      <c r="I11" s="34"/>
      <c r="J11" s="34">
        <f>$C$31*('E Balans VL '!D11+'E Balans VL '!E11)/100/3.6*1000000</f>
        <v>0</v>
      </c>
      <c r="K11" s="34"/>
      <c r="L11" s="34"/>
      <c r="M11" s="34"/>
      <c r="N11" s="34">
        <f>$C$31*'E Balans VL '!Y11/100/3.6*1000000</f>
        <v>0.79824097131206784</v>
      </c>
      <c r="O11" s="34"/>
      <c r="P11" s="34"/>
      <c r="R11" s="33"/>
    </row>
    <row r="12" spans="1:18">
      <c r="A12" s="33" t="s">
        <v>249</v>
      </c>
      <c r="B12" s="38">
        <f t="shared" si="0"/>
        <v>4894.0484740380407</v>
      </c>
      <c r="C12" s="34"/>
      <c r="D12" s="38">
        <f>IF(ISERROR(TER_rest_gas_kWh/1000),0,TER_rest_gas_kWh/1000)*0.902</f>
        <v>2854.6205607705074</v>
      </c>
      <c r="E12" s="34">
        <f>$C$32*'E Balans VL '!I8/100/3.6*1000000</f>
        <v>42.11922170082434</v>
      </c>
      <c r="F12" s="34">
        <f>$C$32*('E Balans VL '!L8+'E Balans VL '!N8)/100/3.6*1000000</f>
        <v>953.47832147032693</v>
      </c>
      <c r="G12" s="35"/>
      <c r="H12" s="34"/>
      <c r="I12" s="34"/>
      <c r="J12" s="34">
        <f>$C$32*('E Balans VL '!D8+'E Balans VL '!E8)/100/3.6*1000000</f>
        <v>0</v>
      </c>
      <c r="K12" s="34"/>
      <c r="L12" s="34"/>
      <c r="M12" s="34"/>
      <c r="N12" s="34">
        <f>$C$32*'E Balans VL '!Y8/100/3.6*1000000</f>
        <v>281.24599778639708</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15456.550112279681</v>
      </c>
      <c r="C16" s="22">
        <f t="shared" ca="1" si="1"/>
        <v>0</v>
      </c>
      <c r="D16" s="22">
        <f t="shared" ca="1" si="1"/>
        <v>9702.4890354776908</v>
      </c>
      <c r="E16" s="22">
        <f t="shared" si="1"/>
        <v>135.84013323932317</v>
      </c>
      <c r="F16" s="22">
        <f t="shared" ca="1" si="1"/>
        <v>2916.3546229802955</v>
      </c>
      <c r="G16" s="22">
        <f t="shared" si="1"/>
        <v>0</v>
      </c>
      <c r="H16" s="22">
        <f t="shared" si="1"/>
        <v>0</v>
      </c>
      <c r="I16" s="22">
        <f t="shared" si="1"/>
        <v>0</v>
      </c>
      <c r="J16" s="22">
        <f t="shared" si="1"/>
        <v>0</v>
      </c>
      <c r="K16" s="22">
        <f t="shared" si="1"/>
        <v>0</v>
      </c>
      <c r="L16" s="22">
        <f t="shared" ca="1" si="1"/>
        <v>0</v>
      </c>
      <c r="M16" s="22">
        <f t="shared" si="1"/>
        <v>0</v>
      </c>
      <c r="N16" s="22">
        <f t="shared" ca="1" si="1"/>
        <v>519.02500503220438</v>
      </c>
      <c r="O16" s="22">
        <f>O5</f>
        <v>1.5633333333333335</v>
      </c>
      <c r="P16" s="22">
        <f>P5</f>
        <v>19.066666666666666</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0.20084569720719614</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3104.3815837187785</v>
      </c>
      <c r="C20" s="24">
        <f t="shared" ref="C20:P20" ca="1" si="2">C16*C18</f>
        <v>0</v>
      </c>
      <c r="D20" s="24">
        <f t="shared" ca="1" si="2"/>
        <v>1959.9027851664937</v>
      </c>
      <c r="E20" s="24">
        <f t="shared" si="2"/>
        <v>30.835710245326361</v>
      </c>
      <c r="F20" s="24">
        <f t="shared" ca="1" si="2"/>
        <v>778.66668433573898</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2459.4155537837701</v>
      </c>
      <c r="C26" s="40">
        <f>IF(ISERROR(B26*3.6/1000000/'E Balans VL '!Z12*100),0,B26*3.6/1000000/'E Balans VL '!Z12*100)</f>
        <v>5.2127451256215887E-2</v>
      </c>
      <c r="D26" s="236" t="s">
        <v>660</v>
      </c>
      <c r="F26" s="6"/>
    </row>
    <row r="27" spans="1:18">
      <c r="A27" s="231" t="s">
        <v>52</v>
      </c>
      <c r="B27" s="34">
        <f>IF(ISERROR(TER_horeca_ele_kWh/1000),0,TER_horeca_ele_kWh/1000)</f>
        <v>1011.1804746807401</v>
      </c>
      <c r="C27" s="40">
        <f>IF(ISERROR(B27*3.6/1000000/'E Balans VL '!Z9*100),0,B27*3.6/1000000/'E Balans VL '!Z9*100)</f>
        <v>7.9348792870922474E-2</v>
      </c>
      <c r="D27" s="236" t="s">
        <v>660</v>
      </c>
      <c r="F27" s="6"/>
    </row>
    <row r="28" spans="1:18">
      <c r="A28" s="171" t="s">
        <v>51</v>
      </c>
      <c r="B28" s="34">
        <f>IF(ISERROR(TER_handel_ele_kWh/1000),0,TER_handel_ele_kWh/1000)</f>
        <v>6471.3183826394306</v>
      </c>
      <c r="C28" s="40">
        <f>IF(ISERROR(B28*3.6/1000000/'E Balans VL '!Z13*100),0,B28*3.6/1000000/'E Balans VL '!Z13*100)</f>
        <v>0.18072091617173519</v>
      </c>
      <c r="D28" s="236" t="s">
        <v>660</v>
      </c>
      <c r="F28" s="6"/>
    </row>
    <row r="29" spans="1:18">
      <c r="A29" s="231" t="s">
        <v>50</v>
      </c>
      <c r="B29" s="34">
        <f>IF(ISERROR(TER_gezond_ele_kWh/1000),0,TER_gezond_ele_kWh/1000)</f>
        <v>46.561673758542902</v>
      </c>
      <c r="C29" s="40">
        <f>IF(ISERROR(B29*3.6/1000000/'E Balans VL '!Z10*100),0,B29*3.6/1000000/'E Balans VL '!Z10*100)</f>
        <v>5.3359365021206362E-3</v>
      </c>
      <c r="D29" s="236" t="s">
        <v>660</v>
      </c>
      <c r="F29" s="6"/>
    </row>
    <row r="30" spans="1:18">
      <c r="A30" s="231" t="s">
        <v>49</v>
      </c>
      <c r="B30" s="34">
        <f>IF(ISERROR(TER_ander_ele_kWh/1000),0,TER_ander_ele_kWh/1000)</f>
        <v>392.72182442335901</v>
      </c>
      <c r="C30" s="40">
        <f>IF(ISERROR(B30*3.6/1000000/'E Balans VL '!Z14*100),0,B30*3.6/1000000/'E Balans VL '!Z14*100)</f>
        <v>2.9284104947620505E-2</v>
      </c>
      <c r="D30" s="236" t="s">
        <v>660</v>
      </c>
      <c r="F30" s="6"/>
    </row>
    <row r="31" spans="1:18">
      <c r="A31" s="231" t="s">
        <v>54</v>
      </c>
      <c r="B31" s="34">
        <f>IF(ISERROR(TER_onderwijs_ele_kWh/1000),0,TER_onderwijs_ele_kWh/1000)</f>
        <v>181.303728955797</v>
      </c>
      <c r="C31" s="40">
        <f>IF(ISERROR(B31*3.6/1000000/'E Balans VL '!Z11*100),0,B31*3.6/1000000/'E Balans VL '!Z11*100)</f>
        <v>5.1817005602860608E-2</v>
      </c>
      <c r="D31" s="236" t="s">
        <v>660</v>
      </c>
    </row>
    <row r="32" spans="1:18">
      <c r="A32" s="231" t="s">
        <v>249</v>
      </c>
      <c r="B32" s="34">
        <f>IF(ISERROR(TER_rest_ele_kWh/1000),0,TER_rest_ele_kWh/1000)</f>
        <v>4894.0484740380407</v>
      </c>
      <c r="C32" s="40">
        <f>IF(ISERROR(B32*3.6/1000000/'E Balans VL '!Z8*100),0,B32*3.6/1000000/'E Balans VL '!Z8*100)</f>
        <v>4.0323915564338918E-2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1</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1</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33587.32326339565</v>
      </c>
      <c r="C5" s="18">
        <f>IF(ISERROR('Eigen informatie GS &amp; warmtenet'!B59),0,'Eigen informatie GS &amp; warmtenet'!B59)</f>
        <v>0</v>
      </c>
      <c r="D5" s="31">
        <f>SUM(D6:D15)</f>
        <v>12332.150930886568</v>
      </c>
      <c r="E5" s="18">
        <f>SUM(E6:E15)</f>
        <v>269.65938934977868</v>
      </c>
      <c r="F5" s="18">
        <f>SUM(F6:F15)</f>
        <v>7409.1185227689302</v>
      </c>
      <c r="G5" s="19"/>
      <c r="H5" s="18"/>
      <c r="I5" s="18"/>
      <c r="J5" s="18">
        <f>SUM(J6:J15)</f>
        <v>126.21736718114141</v>
      </c>
      <c r="K5" s="18"/>
      <c r="L5" s="18"/>
      <c r="M5" s="18"/>
      <c r="N5" s="18">
        <f>SUM(N6:N15)</f>
        <v>1066.9825127692243</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280.81310857982203</v>
      </c>
      <c r="C8" s="34"/>
      <c r="D8" s="38">
        <f>IF( ISERROR(IND_metaal_Gas_kWH/1000),0,IND_metaal_Gas_kWH/1000)*0.902</f>
        <v>0</v>
      </c>
      <c r="E8" s="34">
        <f>C30*'E Balans VL '!I18/100/3.6*1000000</f>
        <v>2.5573143738449864</v>
      </c>
      <c r="F8" s="34">
        <f>C30*'E Balans VL '!L18/100/3.6*1000000+C30*'E Balans VL '!N18/100/3.6*1000000</f>
        <v>37.037116490304598</v>
      </c>
      <c r="G8" s="35"/>
      <c r="H8" s="34"/>
      <c r="I8" s="34"/>
      <c r="J8" s="41">
        <f>C30*'E Balans VL '!D18/100/3.6*1000000+C30*'E Balans VL '!E18/100/3.6*1000000</f>
        <v>4.6049272547571967</v>
      </c>
      <c r="K8" s="34"/>
      <c r="L8" s="34"/>
      <c r="M8" s="34"/>
      <c r="N8" s="34">
        <f>C30*'E Balans VL '!Y18/100/3.6*1000000</f>
        <v>0.96504310146761918</v>
      </c>
      <c r="O8" s="34"/>
      <c r="P8" s="34"/>
      <c r="R8" s="33"/>
    </row>
    <row r="9" spans="1:18">
      <c r="A9" s="6" t="s">
        <v>32</v>
      </c>
      <c r="B9" s="38">
        <f t="shared" si="0"/>
        <v>2782.9276753740301</v>
      </c>
      <c r="C9" s="34"/>
      <c r="D9" s="38">
        <f>IF( ISERROR(IND_andere_gas_kWh/1000),0,IND_andere_gas_kWh/1000)*0.902</f>
        <v>617.31709038314409</v>
      </c>
      <c r="E9" s="34">
        <f>C31*'E Balans VL '!I19/100/3.6*1000000</f>
        <v>16.085737837804785</v>
      </c>
      <c r="F9" s="34">
        <f>C31*'E Balans VL '!L19/100/3.6*1000000+C31*'E Balans VL '!N19/100/3.6*1000000</f>
        <v>2213.9528749407987</v>
      </c>
      <c r="G9" s="35"/>
      <c r="H9" s="34"/>
      <c r="I9" s="34"/>
      <c r="J9" s="41">
        <f>C31*'E Balans VL '!D19/100/3.6*1000000+C31*'E Balans VL '!E19/100/3.6*1000000</f>
        <v>0.26323404620530716</v>
      </c>
      <c r="K9" s="34"/>
      <c r="L9" s="34"/>
      <c r="M9" s="34"/>
      <c r="N9" s="34">
        <f>C31*'E Balans VL '!Y19/100/3.6*1000000</f>
        <v>210.84888630915006</v>
      </c>
      <c r="O9" s="34"/>
      <c r="P9" s="34"/>
      <c r="R9" s="33"/>
    </row>
    <row r="10" spans="1:18">
      <c r="A10" s="6" t="s">
        <v>40</v>
      </c>
      <c r="B10" s="38">
        <f t="shared" si="0"/>
        <v>2327.2718248204396</v>
      </c>
      <c r="C10" s="34"/>
      <c r="D10" s="38">
        <f>IF( ISERROR(IND_voed_gas_kWh/1000),0,IND_voed_gas_kWh/1000)*0.902</f>
        <v>0</v>
      </c>
      <c r="E10" s="34">
        <f>C32*'E Balans VL '!I20/100/3.6*1000000</f>
        <v>22.883170533229105</v>
      </c>
      <c r="F10" s="34">
        <f>C32*'E Balans VL '!L20/100/3.6*1000000+C32*'E Balans VL '!N20/100/3.6*1000000</f>
        <v>258.47391319784168</v>
      </c>
      <c r="G10" s="35"/>
      <c r="H10" s="34"/>
      <c r="I10" s="34"/>
      <c r="J10" s="41">
        <f>C32*'E Balans VL '!D20/100/3.6*1000000+C32*'E Balans VL '!E20/100/3.6*1000000</f>
        <v>9.1728347794527067E-3</v>
      </c>
      <c r="K10" s="34"/>
      <c r="L10" s="34"/>
      <c r="M10" s="34"/>
      <c r="N10" s="34">
        <f>C32*'E Balans VL '!Y20/100/3.6*1000000</f>
        <v>34.461421405223064</v>
      </c>
      <c r="O10" s="34"/>
      <c r="P10" s="34"/>
      <c r="R10" s="33"/>
    </row>
    <row r="11" spans="1:18">
      <c r="A11" s="6" t="s">
        <v>39</v>
      </c>
      <c r="B11" s="38">
        <f t="shared" si="0"/>
        <v>3961.3893401731498</v>
      </c>
      <c r="C11" s="34"/>
      <c r="D11" s="38">
        <f>IF( ISERROR(IND_textiel_gas_kWh/1000),0,IND_textiel_gas_kWh/1000)*0.902</f>
        <v>3755.6735863360063</v>
      </c>
      <c r="E11" s="34">
        <f>C33*'E Balans VL '!I21/100/3.6*1000000</f>
        <v>7.7137449070417219</v>
      </c>
      <c r="F11" s="34">
        <f>C33*'E Balans VL '!L21/100/3.6*1000000+C33*'E Balans VL '!N21/100/3.6*1000000</f>
        <v>130.65961975222123</v>
      </c>
      <c r="G11" s="35"/>
      <c r="H11" s="34"/>
      <c r="I11" s="34"/>
      <c r="J11" s="41">
        <f>C33*'E Balans VL '!D21/100/3.6*1000000+C33*'E Balans VL '!E21/100/3.6*1000000</f>
        <v>0</v>
      </c>
      <c r="K11" s="34"/>
      <c r="L11" s="34"/>
      <c r="M11" s="34"/>
      <c r="N11" s="34">
        <f>C33*'E Balans VL '!Y21/100/3.6*1000000</f>
        <v>41.090026613889741</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105.75586866850999</v>
      </c>
      <c r="C13" s="34"/>
      <c r="D13" s="38">
        <f>IF( ISERROR(IND_papier_gas_kWh/1000),0,IND_papier_gas_kWh/1000)*0.902</f>
        <v>0</v>
      </c>
      <c r="E13" s="34">
        <f>C35*'E Balans VL '!I23/100/3.6*1000000</f>
        <v>3.6021982229454568</v>
      </c>
      <c r="F13" s="34">
        <f>C35*'E Balans VL '!L23/100/3.6*1000000+C35*'E Balans VL '!N23/100/3.6*1000000</f>
        <v>17.468387467227451</v>
      </c>
      <c r="G13" s="35"/>
      <c r="H13" s="34"/>
      <c r="I13" s="34"/>
      <c r="J13" s="41">
        <f>C35*'E Balans VL '!D23/100/3.6*1000000+C35*'E Balans VL '!E23/100/3.6*1000000</f>
        <v>0</v>
      </c>
      <c r="K13" s="34"/>
      <c r="L13" s="34"/>
      <c r="M13" s="34"/>
      <c r="N13" s="34">
        <f>C35*'E Balans VL '!Y23/100/3.6*1000000</f>
        <v>38.915323517472672</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24129.165445779701</v>
      </c>
      <c r="C15" s="34"/>
      <c r="D15" s="38">
        <f>IF( ISERROR(IND_rest_gas_kWh/1000),0,IND_rest_gas_kWh/1000)*0.902</f>
        <v>7959.1602541674174</v>
      </c>
      <c r="E15" s="34">
        <f>C37*'E Balans VL '!I15/100/3.6*1000000</f>
        <v>216.81722347491262</v>
      </c>
      <c r="F15" s="34">
        <f>C37*'E Balans VL '!L15/100/3.6*1000000+C37*'E Balans VL '!N15/100/3.6*1000000</f>
        <v>4751.5266109205368</v>
      </c>
      <c r="G15" s="35"/>
      <c r="H15" s="34"/>
      <c r="I15" s="34"/>
      <c r="J15" s="41">
        <f>C37*'E Balans VL '!D15/100/3.6*1000000+C37*'E Balans VL '!E15/100/3.6*1000000</f>
        <v>121.34003304539945</v>
      </c>
      <c r="K15" s="34"/>
      <c r="L15" s="34"/>
      <c r="M15" s="34"/>
      <c r="N15" s="34">
        <f>C37*'E Balans VL '!Y15/100/3.6*1000000</f>
        <v>740.70181182202123</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33587.32326339565</v>
      </c>
      <c r="C18" s="22">
        <f>C5+C16</f>
        <v>0</v>
      </c>
      <c r="D18" s="22">
        <f>MAX((D5+D16),0)</f>
        <v>12332.150930886568</v>
      </c>
      <c r="E18" s="22">
        <f>MAX((E5+E16),0)</f>
        <v>269.65938934977868</v>
      </c>
      <c r="F18" s="22">
        <f>MAX((F5+F16),0)</f>
        <v>7409.1185227689302</v>
      </c>
      <c r="G18" s="22"/>
      <c r="H18" s="22"/>
      <c r="I18" s="22"/>
      <c r="J18" s="22">
        <f>MAX((J5+J16),0)</f>
        <v>126.21736718114141</v>
      </c>
      <c r="K18" s="22"/>
      <c r="L18" s="22">
        <f>MAX((L5+L16),0)</f>
        <v>0</v>
      </c>
      <c r="M18" s="22"/>
      <c r="N18" s="22">
        <f>MAX((N5+N16),0)</f>
        <v>1066.9825127692243</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0.20084569720719614</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6745.8693581601774</v>
      </c>
      <c r="C22" s="24">
        <f ca="1">C18*C20</f>
        <v>0</v>
      </c>
      <c r="D22" s="24">
        <f>D18*D20</f>
        <v>2491.0944880390871</v>
      </c>
      <c r="E22" s="24">
        <f>E18*E20</f>
        <v>61.212681382399765</v>
      </c>
      <c r="F22" s="24">
        <f>F18*F20</f>
        <v>1978.2346455793045</v>
      </c>
      <c r="G22" s="24"/>
      <c r="H22" s="24"/>
      <c r="I22" s="24"/>
      <c r="J22" s="24">
        <f>J18*J20</f>
        <v>44.68094798212406</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280.81310857982203</v>
      </c>
      <c r="C30" s="40">
        <f>IF(ISERROR(B30*3.6/1000000/'E Balans VL '!Z18*100),0,B30*3.6/1000000/'E Balans VL '!Z18*100)</f>
        <v>1.5625371711320897E-2</v>
      </c>
      <c r="D30" s="236" t="s">
        <v>660</v>
      </c>
    </row>
    <row r="31" spans="1:18">
      <c r="A31" s="6" t="s">
        <v>32</v>
      </c>
      <c r="B31" s="38">
        <f>IF( ISERROR(IND_ander_ele_kWh/1000),0,IND_ander_ele_kWh/1000)</f>
        <v>2782.9276753740301</v>
      </c>
      <c r="C31" s="40">
        <f>IF(ISERROR(B31*3.6/1000000/'E Balans VL '!Z19*100),0,B31*3.6/1000000/'E Balans VL '!Z19*100)</f>
        <v>0.12937099881762537</v>
      </c>
      <c r="D31" s="236" t="s">
        <v>660</v>
      </c>
    </row>
    <row r="32" spans="1:18">
      <c r="A32" s="171" t="s">
        <v>40</v>
      </c>
      <c r="B32" s="38">
        <f>IF( ISERROR(IND_voed_ele_kWh/1000),0,IND_voed_ele_kWh/1000)</f>
        <v>2327.2718248204396</v>
      </c>
      <c r="C32" s="40">
        <f>IF(ISERROR(B32*3.6/1000000/'E Balans VL '!Z20*100),0,B32*3.6/1000000/'E Balans VL '!Z20*100)</f>
        <v>8.2264358882899971E-2</v>
      </c>
      <c r="D32" s="236" t="s">
        <v>660</v>
      </c>
    </row>
    <row r="33" spans="1:5">
      <c r="A33" s="171" t="s">
        <v>39</v>
      </c>
      <c r="B33" s="38">
        <f>IF( ISERROR(IND_textiel_ele_kWh/1000),0,IND_textiel_ele_kWh/1000)</f>
        <v>3961.3893401731498</v>
      </c>
      <c r="C33" s="40">
        <f>IF(ISERROR(B33*3.6/1000000/'E Balans VL '!Z21*100),0,B33*3.6/1000000/'E Balans VL '!Z21*100)</f>
        <v>0.53504574026116059</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105.75586866850999</v>
      </c>
      <c r="C35" s="40">
        <f>IF(ISERROR(B35*3.6/1000000/'E Balans VL '!Z22*100),0,B35*3.6/1000000/'E Balans VL '!Z22*100)</f>
        <v>2.1253947387625496E-2</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24129.165445779701</v>
      </c>
      <c r="C37" s="40">
        <f>IF(ISERROR(B37*3.6/1000000/'E Balans VL '!Z15*100),0,B37*3.6/1000000/'E Balans VL '!Z15*100)</f>
        <v>0.18221084328293177</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1747.876172742717</v>
      </c>
      <c r="C5" s="18">
        <f>'Eigen informatie GS &amp; warmtenet'!B60</f>
        <v>0</v>
      </c>
      <c r="D5" s="31">
        <f>IF(ISERROR(SUM(LB_lb_gas_kWh,LB_rest_gas_kWh)/1000),0,SUM(LB_lb_gas_kWh,LB_rest_gas_kWh)/1000)*0.902</f>
        <v>87.975793118047392</v>
      </c>
      <c r="E5" s="18">
        <f>B17*'E Balans VL '!I25/3.6*1000000/100</f>
        <v>17.260595333990931</v>
      </c>
      <c r="F5" s="18">
        <f>B17*('E Balans VL '!L25/3.6*1000000+'E Balans VL '!N25/3.6*1000000)/100</f>
        <v>5831.3773967551788</v>
      </c>
      <c r="G5" s="19"/>
      <c r="H5" s="18"/>
      <c r="I5" s="18"/>
      <c r="J5" s="18">
        <f>('E Balans VL '!D25+'E Balans VL '!E25)/3.6*1000000*landbouw!B17/100</f>
        <v>174.38499023379245</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1747.876172742717</v>
      </c>
      <c r="C8" s="22">
        <f>C5+C6</f>
        <v>0</v>
      </c>
      <c r="D8" s="22">
        <f>MAX((D5+D6),0)</f>
        <v>87.975793118047392</v>
      </c>
      <c r="E8" s="22">
        <f>MAX((E5+E6),0)</f>
        <v>17.260595333990931</v>
      </c>
      <c r="F8" s="22">
        <f>MAX((F5+F6),0)</f>
        <v>5831.3773967551788</v>
      </c>
      <c r="G8" s="22"/>
      <c r="H8" s="22"/>
      <c r="I8" s="22"/>
      <c r="J8" s="22">
        <f>MAX((J5+J6),0)</f>
        <v>174.38499023379245</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0.20084569720719614</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351.05340854635659</v>
      </c>
      <c r="C12" s="24">
        <f ca="1">C8*C10</f>
        <v>0</v>
      </c>
      <c r="D12" s="24">
        <f>D8*D10</f>
        <v>17.771110209845574</v>
      </c>
      <c r="E12" s="24">
        <f>E8*E10</f>
        <v>3.9181551408159416</v>
      </c>
      <c r="F12" s="24">
        <f>F8*F10</f>
        <v>1556.9777649336329</v>
      </c>
      <c r="G12" s="24"/>
      <c r="H12" s="24"/>
      <c r="I12" s="24"/>
      <c r="J12" s="24">
        <f>J8*J10</f>
        <v>61.732286542762523</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0.2366345036209663</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310.0613761090712</v>
      </c>
      <c r="C26" s="246">
        <f>B26*'GWP N2O_CH4'!B5</f>
        <v>6511.2888982904951</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117.71169549473998</v>
      </c>
      <c r="C27" s="246">
        <f>B27*'GWP N2O_CH4'!B5</f>
        <v>2471.9456053895397</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4.9038546887490222</v>
      </c>
      <c r="C28" s="246">
        <f>B28*'GWP N2O_CH4'!B4</f>
        <v>1520.1949535121969</v>
      </c>
      <c r="D28" s="51"/>
    </row>
    <row r="29" spans="1:4">
      <c r="A29" s="42" t="s">
        <v>266</v>
      </c>
      <c r="B29" s="246">
        <f>B34*'ha_N2O bodem landbouw'!B4</f>
        <v>14.825300727929575</v>
      </c>
      <c r="C29" s="246">
        <f>B29*'GWP N2O_CH4'!B4</f>
        <v>4595.8432256581682</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4.0023644921181115E-3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1.1121469218138276E-5</v>
      </c>
      <c r="C5" s="433" t="s">
        <v>204</v>
      </c>
      <c r="D5" s="418">
        <f>SUM(D6:D11)</f>
        <v>1.4013478674404192E-5</v>
      </c>
      <c r="E5" s="418">
        <f>SUM(E6:E11)</f>
        <v>8.9183677438522176E-4</v>
      </c>
      <c r="F5" s="431" t="s">
        <v>204</v>
      </c>
      <c r="G5" s="418">
        <f>SUM(G6:G11)</f>
        <v>0.21800375377715969</v>
      </c>
      <c r="H5" s="418">
        <f>SUM(H6:H11)</f>
        <v>3.5633405261045463E-2</v>
      </c>
      <c r="I5" s="433" t="s">
        <v>204</v>
      </c>
      <c r="J5" s="433" t="s">
        <v>204</v>
      </c>
      <c r="K5" s="433" t="s">
        <v>204</v>
      </c>
      <c r="L5" s="433" t="s">
        <v>204</v>
      </c>
      <c r="M5" s="418">
        <f>SUM(M6:M11)</f>
        <v>1.1332422961557655E-2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8.3951341556526531E-6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9.7368283684934451E-6</v>
      </c>
      <c r="E6" s="421">
        <f>vkm_GW_PW*SUMIFS(TableVerdeelsleutelVkm[LPG],TableVerdeelsleutelVkm[Voertuigtype],"Lichte voertuigen")*SUMIFS(TableECFTransport[EnergieConsumptieFactor (PJ per km)],TableECFTransport[Index],CONCATENATE($A6,"_LPG_LPG"))</f>
        <v>6.3022911675035466E-4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9.9369324552781038E-2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2.5126854963318953E-2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5.5724573174768029E-3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4.0184355668264284E-7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6.6473333381971852E-2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2.0716392808888734E-6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2.9578596759405698E-3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2.262456533434373E-6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4.2766503059107473E-6</v>
      </c>
      <c r="E8" s="421">
        <f>vkm_NGW_PW*SUMIFS(TableVerdeelsleutelVkm[LPG],TableVerdeelsleutelVkm[Voertuigtype],"Lichte voertuigen")*SUMIFS(TableECFTransport[EnergieConsumptieFactor (PJ per km)],TableECFTransport[Index],CONCATENATE($A8,"_LPG_LPG"))</f>
        <v>2.6160765763486705E-4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3.9001817705186584E-2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1.0504092638124667E-2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2.2165595115346418E-3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6.2034972368607368E-8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1.3159278137220223E-2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3.8602032094966053E-7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5.8554645660564223E-4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3.0892970050384099</v>
      </c>
      <c r="C14" s="22"/>
      <c r="D14" s="22">
        <f t="shared" ref="D14:M14" si="0">((D5)*10^9/3600)+D12</f>
        <v>3.8926329651122757</v>
      </c>
      <c r="E14" s="22">
        <f t="shared" si="0"/>
        <v>247.73243732922828</v>
      </c>
      <c r="F14" s="22"/>
      <c r="G14" s="22">
        <f t="shared" si="0"/>
        <v>60556.598271433249</v>
      </c>
      <c r="H14" s="22">
        <f t="shared" si="0"/>
        <v>9898.1681280681842</v>
      </c>
      <c r="I14" s="22"/>
      <c r="J14" s="22"/>
      <c r="K14" s="22"/>
      <c r="L14" s="22"/>
      <c r="M14" s="22">
        <f t="shared" si="0"/>
        <v>3147.8952670993485</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0.20084569720719614</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0.6204720108570424</v>
      </c>
      <c r="C18" s="24"/>
      <c r="D18" s="24">
        <f t="shared" ref="D18:M18" si="1">D14*D16</f>
        <v>0.78631185895267974</v>
      </c>
      <c r="E18" s="24">
        <f t="shared" si="1"/>
        <v>56.235263273734823</v>
      </c>
      <c r="F18" s="24"/>
      <c r="G18" s="24">
        <f t="shared" si="1"/>
        <v>16168.611738472679</v>
      </c>
      <c r="H18" s="24">
        <f t="shared" si="1"/>
        <v>2464.6438638889776</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1.6212272418560464E-5</v>
      </c>
      <c r="C50" s="316">
        <f t="shared" ref="C50:P50" si="2">SUM(C51:C52)</f>
        <v>0</v>
      </c>
      <c r="D50" s="316">
        <f t="shared" si="2"/>
        <v>0</v>
      </c>
      <c r="E50" s="316">
        <f t="shared" si="2"/>
        <v>0</v>
      </c>
      <c r="F50" s="316">
        <f t="shared" si="2"/>
        <v>0</v>
      </c>
      <c r="G50" s="316">
        <f t="shared" si="2"/>
        <v>3.233569786999623E-3</v>
      </c>
      <c r="H50" s="316">
        <f t="shared" si="2"/>
        <v>0</v>
      </c>
      <c r="I50" s="316">
        <f t="shared" si="2"/>
        <v>0</v>
      </c>
      <c r="J50" s="316">
        <f t="shared" si="2"/>
        <v>0</v>
      </c>
      <c r="K50" s="316">
        <f t="shared" si="2"/>
        <v>0</v>
      </c>
      <c r="L50" s="316">
        <f t="shared" si="2"/>
        <v>0</v>
      </c>
      <c r="M50" s="316">
        <f t="shared" si="2"/>
        <v>1.4292034069475753E-4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1.6212272418560464E-5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3.233569786999623E-3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1.4292034069475753E-4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4.5034090051556843</v>
      </c>
      <c r="C54" s="22">
        <f t="shared" ref="C54:P54" si="3">(C50)*10^9/3600</f>
        <v>0</v>
      </c>
      <c r="D54" s="22">
        <f t="shared" si="3"/>
        <v>0</v>
      </c>
      <c r="E54" s="22">
        <f t="shared" si="3"/>
        <v>0</v>
      </c>
      <c r="F54" s="22">
        <f t="shared" si="3"/>
        <v>0</v>
      </c>
      <c r="G54" s="22">
        <f t="shared" si="3"/>
        <v>898.21382972211745</v>
      </c>
      <c r="H54" s="22">
        <f t="shared" si="3"/>
        <v>0</v>
      </c>
      <c r="I54" s="22">
        <f t="shared" si="3"/>
        <v>0</v>
      </c>
      <c r="J54" s="22">
        <f t="shared" si="3"/>
        <v>0</v>
      </c>
      <c r="K54" s="22">
        <f t="shared" si="3"/>
        <v>0</v>
      </c>
      <c r="L54" s="22">
        <f t="shared" si="3"/>
        <v>0</v>
      </c>
      <c r="M54" s="22">
        <f t="shared" si="3"/>
        <v>39.700094637432649</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0.20084569720719614</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0.90449032144965902</v>
      </c>
      <c r="C58" s="24">
        <f t="shared" ref="C58:P58" ca="1" si="4">C54*C56</f>
        <v>0</v>
      </c>
      <c r="D58" s="24">
        <f t="shared" si="4"/>
        <v>0</v>
      </c>
      <c r="E58" s="24">
        <f t="shared" si="4"/>
        <v>0</v>
      </c>
      <c r="F58" s="24">
        <f t="shared" si="4"/>
        <v>0</v>
      </c>
      <c r="G58" s="24">
        <f t="shared" si="4"/>
        <v>239.82309253580539</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7648.2407932128335</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7648.2407932128335</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16775.736112279683</v>
      </c>
      <c r="D10" s="639">
        <f ca="1">tertiair!C16</f>
        <v>0</v>
      </c>
      <c r="E10" s="639">
        <f ca="1">tertiair!D16</f>
        <v>9702.4890354776908</v>
      </c>
      <c r="F10" s="639">
        <f>tertiair!E16</f>
        <v>135.84013323932317</v>
      </c>
      <c r="G10" s="639">
        <f ca="1">tertiair!F16</f>
        <v>2916.3546229802955</v>
      </c>
      <c r="H10" s="639">
        <f>tertiair!G16</f>
        <v>0</v>
      </c>
      <c r="I10" s="639">
        <f>tertiair!H16</f>
        <v>0</v>
      </c>
      <c r="J10" s="639">
        <f>tertiair!I16</f>
        <v>0</v>
      </c>
      <c r="K10" s="639">
        <f>tertiair!J16</f>
        <v>0</v>
      </c>
      <c r="L10" s="639">
        <f>tertiair!K16</f>
        <v>0</v>
      </c>
      <c r="M10" s="639">
        <f ca="1">tertiair!L16</f>
        <v>0</v>
      </c>
      <c r="N10" s="639">
        <f>tertiair!M16</f>
        <v>0</v>
      </c>
      <c r="O10" s="639">
        <f ca="1">tertiair!N16</f>
        <v>519.02500503220438</v>
      </c>
      <c r="P10" s="639">
        <f>tertiair!O16</f>
        <v>1.5633333333333335</v>
      </c>
      <c r="Q10" s="640">
        <f>tertiair!P16</f>
        <v>19.066666666666666</v>
      </c>
      <c r="R10" s="642">
        <f ca="1">SUM(C10:Q10)</f>
        <v>30070.074909009192</v>
      </c>
      <c r="S10" s="68"/>
    </row>
    <row r="11" spans="1:19" s="443" customFormat="1">
      <c r="A11" s="753" t="s">
        <v>214</v>
      </c>
      <c r="B11" s="758"/>
      <c r="C11" s="639">
        <f>huishoudens!B8</f>
        <v>30916.365749542398</v>
      </c>
      <c r="D11" s="639">
        <f>huishoudens!C8</f>
        <v>0</v>
      </c>
      <c r="E11" s="639">
        <f>huishoudens!D8</f>
        <v>29101.017898951486</v>
      </c>
      <c r="F11" s="639">
        <f>huishoudens!E8</f>
        <v>2013.3375384275175</v>
      </c>
      <c r="G11" s="639">
        <f>huishoudens!F8</f>
        <v>61380.816232111618</v>
      </c>
      <c r="H11" s="639">
        <f>huishoudens!G8</f>
        <v>0</v>
      </c>
      <c r="I11" s="639">
        <f>huishoudens!H8</f>
        <v>0</v>
      </c>
      <c r="J11" s="639">
        <f>huishoudens!I8</f>
        <v>0</v>
      </c>
      <c r="K11" s="639">
        <f>huishoudens!J8</f>
        <v>1113.7335226419641</v>
      </c>
      <c r="L11" s="639">
        <f>huishoudens!K8</f>
        <v>0</v>
      </c>
      <c r="M11" s="639">
        <f>huishoudens!L8</f>
        <v>0</v>
      </c>
      <c r="N11" s="639">
        <f>huishoudens!M8</f>
        <v>0</v>
      </c>
      <c r="O11" s="639">
        <f>huishoudens!N8</f>
        <v>8858.3162648758662</v>
      </c>
      <c r="P11" s="639">
        <f>huishoudens!O8</f>
        <v>131.32000000000002</v>
      </c>
      <c r="Q11" s="640">
        <f>huishoudens!P8</f>
        <v>476.66666666666663</v>
      </c>
      <c r="R11" s="642">
        <f>SUM(C11:Q11)</f>
        <v>133991.57387321751</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33587.32326339565</v>
      </c>
      <c r="D13" s="639">
        <f>industrie!C18</f>
        <v>0</v>
      </c>
      <c r="E13" s="639">
        <f>industrie!D18</f>
        <v>12332.150930886568</v>
      </c>
      <c r="F13" s="639">
        <f>industrie!E18</f>
        <v>269.65938934977868</v>
      </c>
      <c r="G13" s="639">
        <f>industrie!F18</f>
        <v>7409.1185227689302</v>
      </c>
      <c r="H13" s="639">
        <f>industrie!G18</f>
        <v>0</v>
      </c>
      <c r="I13" s="639">
        <f>industrie!H18</f>
        <v>0</v>
      </c>
      <c r="J13" s="639">
        <f>industrie!I18</f>
        <v>0</v>
      </c>
      <c r="K13" s="639">
        <f>industrie!J18</f>
        <v>126.21736718114141</v>
      </c>
      <c r="L13" s="639">
        <f>industrie!K18</f>
        <v>0</v>
      </c>
      <c r="M13" s="639">
        <f>industrie!L18</f>
        <v>0</v>
      </c>
      <c r="N13" s="639">
        <f>industrie!M18</f>
        <v>0</v>
      </c>
      <c r="O13" s="639">
        <f>industrie!N18</f>
        <v>1066.9825127692243</v>
      </c>
      <c r="P13" s="639">
        <f>industrie!O18</f>
        <v>0</v>
      </c>
      <c r="Q13" s="640">
        <f>industrie!P18</f>
        <v>0</v>
      </c>
      <c r="R13" s="642">
        <f>SUM(C13:Q13)</f>
        <v>54791.451986351283</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81279.425125217735</v>
      </c>
      <c r="D16" s="672">
        <f t="shared" ref="D16:R16" ca="1" si="0">SUM(D9:D15)</f>
        <v>0</v>
      </c>
      <c r="E16" s="672">
        <f t="shared" ca="1" si="0"/>
        <v>51135.657865315748</v>
      </c>
      <c r="F16" s="672">
        <f t="shared" si="0"/>
        <v>2418.8370610166194</v>
      </c>
      <c r="G16" s="672">
        <f t="shared" ca="1" si="0"/>
        <v>71706.289377860841</v>
      </c>
      <c r="H16" s="672">
        <f t="shared" si="0"/>
        <v>0</v>
      </c>
      <c r="I16" s="672">
        <f t="shared" si="0"/>
        <v>0</v>
      </c>
      <c r="J16" s="672">
        <f t="shared" si="0"/>
        <v>0</v>
      </c>
      <c r="K16" s="672">
        <f t="shared" si="0"/>
        <v>1239.9508898231056</v>
      </c>
      <c r="L16" s="672">
        <f t="shared" si="0"/>
        <v>0</v>
      </c>
      <c r="M16" s="672">
        <f t="shared" ca="1" si="0"/>
        <v>0</v>
      </c>
      <c r="N16" s="672">
        <f t="shared" si="0"/>
        <v>0</v>
      </c>
      <c r="O16" s="672">
        <f t="shared" ca="1" si="0"/>
        <v>10444.323782677295</v>
      </c>
      <c r="P16" s="672">
        <f t="shared" si="0"/>
        <v>132.88333333333335</v>
      </c>
      <c r="Q16" s="672">
        <f t="shared" si="0"/>
        <v>495.73333333333329</v>
      </c>
      <c r="R16" s="672">
        <f t="shared" ca="1" si="0"/>
        <v>218853.10076857798</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4.5034090051556843</v>
      </c>
      <c r="D19" s="639">
        <f>transport!C54</f>
        <v>0</v>
      </c>
      <c r="E19" s="639">
        <f>transport!D54</f>
        <v>0</v>
      </c>
      <c r="F19" s="639">
        <f>transport!E54</f>
        <v>0</v>
      </c>
      <c r="G19" s="639">
        <f>transport!F54</f>
        <v>0</v>
      </c>
      <c r="H19" s="639">
        <f>transport!G54</f>
        <v>898.21382972211745</v>
      </c>
      <c r="I19" s="639">
        <f>transport!H54</f>
        <v>0</v>
      </c>
      <c r="J19" s="639">
        <f>transport!I54</f>
        <v>0</v>
      </c>
      <c r="K19" s="639">
        <f>transport!J54</f>
        <v>0</v>
      </c>
      <c r="L19" s="639">
        <f>transport!K54</f>
        <v>0</v>
      </c>
      <c r="M19" s="639">
        <f>transport!L54</f>
        <v>0</v>
      </c>
      <c r="N19" s="639">
        <f>transport!M54</f>
        <v>39.700094637432649</v>
      </c>
      <c r="O19" s="639">
        <f>transport!N54</f>
        <v>0</v>
      </c>
      <c r="P19" s="639">
        <f>transport!O54</f>
        <v>0</v>
      </c>
      <c r="Q19" s="640">
        <f>transport!P54</f>
        <v>0</v>
      </c>
      <c r="R19" s="642">
        <f>SUM(C19:Q19)</f>
        <v>942.41733336470588</v>
      </c>
      <c r="S19" s="68"/>
    </row>
    <row r="20" spans="1:19" s="443" customFormat="1">
      <c r="A20" s="753" t="s">
        <v>296</v>
      </c>
      <c r="B20" s="758"/>
      <c r="C20" s="639">
        <f>transport!B14</f>
        <v>3.0892970050384099</v>
      </c>
      <c r="D20" s="639">
        <f>transport!C14</f>
        <v>0</v>
      </c>
      <c r="E20" s="639">
        <f>transport!D14</f>
        <v>3.8926329651122757</v>
      </c>
      <c r="F20" s="639">
        <f>transport!E14</f>
        <v>247.73243732922828</v>
      </c>
      <c r="G20" s="639">
        <f>transport!F14</f>
        <v>0</v>
      </c>
      <c r="H20" s="639">
        <f>transport!G14</f>
        <v>60556.598271433249</v>
      </c>
      <c r="I20" s="639">
        <f>transport!H14</f>
        <v>9898.1681280681842</v>
      </c>
      <c r="J20" s="639">
        <f>transport!I14</f>
        <v>0</v>
      </c>
      <c r="K20" s="639">
        <f>transport!J14</f>
        <v>0</v>
      </c>
      <c r="L20" s="639">
        <f>transport!K14</f>
        <v>0</v>
      </c>
      <c r="M20" s="639">
        <f>transport!L14</f>
        <v>0</v>
      </c>
      <c r="N20" s="639">
        <f>transport!M14</f>
        <v>3147.8952670993485</v>
      </c>
      <c r="O20" s="639">
        <f>transport!N14</f>
        <v>0</v>
      </c>
      <c r="P20" s="639">
        <f>transport!O14</f>
        <v>0</v>
      </c>
      <c r="Q20" s="640">
        <f>transport!P14</f>
        <v>0</v>
      </c>
      <c r="R20" s="642">
        <f>SUM(C20:Q20)</f>
        <v>73857.37603390016</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7.5927060101940942</v>
      </c>
      <c r="D22" s="756">
        <f t="shared" ref="D22:R22" si="1">SUM(D18:D21)</f>
        <v>0</v>
      </c>
      <c r="E22" s="756">
        <f t="shared" si="1"/>
        <v>3.8926329651122757</v>
      </c>
      <c r="F22" s="756">
        <f t="shared" si="1"/>
        <v>247.73243732922828</v>
      </c>
      <c r="G22" s="756">
        <f t="shared" si="1"/>
        <v>0</v>
      </c>
      <c r="H22" s="756">
        <f t="shared" si="1"/>
        <v>61454.812101155367</v>
      </c>
      <c r="I22" s="756">
        <f t="shared" si="1"/>
        <v>9898.1681280681842</v>
      </c>
      <c r="J22" s="756">
        <f t="shared" si="1"/>
        <v>0</v>
      </c>
      <c r="K22" s="756">
        <f t="shared" si="1"/>
        <v>0</v>
      </c>
      <c r="L22" s="756">
        <f t="shared" si="1"/>
        <v>0</v>
      </c>
      <c r="M22" s="756">
        <f t="shared" si="1"/>
        <v>0</v>
      </c>
      <c r="N22" s="756">
        <f t="shared" si="1"/>
        <v>3187.5953617367813</v>
      </c>
      <c r="O22" s="756">
        <f t="shared" si="1"/>
        <v>0</v>
      </c>
      <c r="P22" s="756">
        <f t="shared" si="1"/>
        <v>0</v>
      </c>
      <c r="Q22" s="756">
        <f t="shared" si="1"/>
        <v>0</v>
      </c>
      <c r="R22" s="756">
        <f t="shared" si="1"/>
        <v>74799.793367264865</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1747.876172742717</v>
      </c>
      <c r="D24" s="639">
        <f>+landbouw!C8</f>
        <v>0</v>
      </c>
      <c r="E24" s="639">
        <f>+landbouw!D8</f>
        <v>87.975793118047392</v>
      </c>
      <c r="F24" s="639">
        <f>+landbouw!E8</f>
        <v>17.260595333990931</v>
      </c>
      <c r="G24" s="639">
        <f>+landbouw!F8</f>
        <v>5831.3773967551788</v>
      </c>
      <c r="H24" s="639">
        <f>+landbouw!G8</f>
        <v>0</v>
      </c>
      <c r="I24" s="639">
        <f>+landbouw!H8</f>
        <v>0</v>
      </c>
      <c r="J24" s="639">
        <f>+landbouw!I8</f>
        <v>0</v>
      </c>
      <c r="K24" s="639">
        <f>+landbouw!J8</f>
        <v>174.38499023379245</v>
      </c>
      <c r="L24" s="639">
        <f>+landbouw!K8</f>
        <v>0</v>
      </c>
      <c r="M24" s="639">
        <f>+landbouw!L8</f>
        <v>0</v>
      </c>
      <c r="N24" s="639">
        <f>+landbouw!M8</f>
        <v>0</v>
      </c>
      <c r="O24" s="639">
        <f>+landbouw!N8</f>
        <v>0</v>
      </c>
      <c r="P24" s="639">
        <f>+landbouw!O8</f>
        <v>0</v>
      </c>
      <c r="Q24" s="640">
        <f>+landbouw!P8</f>
        <v>0</v>
      </c>
      <c r="R24" s="642">
        <f>SUM(C24:Q24)</f>
        <v>7858.8749481837267</v>
      </c>
      <c r="S24" s="68"/>
    </row>
    <row r="25" spans="1:19" s="443" customFormat="1" ht="15" thickBot="1">
      <c r="A25" s="775" t="s">
        <v>847</v>
      </c>
      <c r="B25" s="941"/>
      <c r="C25" s="942">
        <f>IF(Onbekend_ele_kWh="---",0,Onbekend_ele_kWh)/1000+IF(REST_rest_ele_kWh="---",0,REST_rest_ele_kWh)/1000</f>
        <v>831.12868491887605</v>
      </c>
      <c r="D25" s="942"/>
      <c r="E25" s="942">
        <f>IF(onbekend_gas_kWh="---",0,onbekend_gas_kWh)/1000+IF(REST_rest_gas_kWh="---",0,REST_rest_gas_kWh)/1000</f>
        <v>1099.3465897851199</v>
      </c>
      <c r="F25" s="942"/>
      <c r="G25" s="942"/>
      <c r="H25" s="942"/>
      <c r="I25" s="942"/>
      <c r="J25" s="942"/>
      <c r="K25" s="942"/>
      <c r="L25" s="942"/>
      <c r="M25" s="942"/>
      <c r="N25" s="942"/>
      <c r="O25" s="942"/>
      <c r="P25" s="942"/>
      <c r="Q25" s="943"/>
      <c r="R25" s="642">
        <f>SUM(C25:Q25)</f>
        <v>1930.4752747039961</v>
      </c>
      <c r="S25" s="68"/>
    </row>
    <row r="26" spans="1:19" s="443" customFormat="1" ht="15.75" thickBot="1">
      <c r="A26" s="645" t="s">
        <v>848</v>
      </c>
      <c r="B26" s="761"/>
      <c r="C26" s="756">
        <f>SUM(C24:C25)</f>
        <v>2579.0048576615932</v>
      </c>
      <c r="D26" s="756">
        <f t="shared" ref="D26:R26" si="2">SUM(D24:D25)</f>
        <v>0</v>
      </c>
      <c r="E26" s="756">
        <f t="shared" si="2"/>
        <v>1187.3223829031674</v>
      </c>
      <c r="F26" s="756">
        <f t="shared" si="2"/>
        <v>17.260595333990931</v>
      </c>
      <c r="G26" s="756">
        <f t="shared" si="2"/>
        <v>5831.3773967551788</v>
      </c>
      <c r="H26" s="756">
        <f t="shared" si="2"/>
        <v>0</v>
      </c>
      <c r="I26" s="756">
        <f t="shared" si="2"/>
        <v>0</v>
      </c>
      <c r="J26" s="756">
        <f t="shared" si="2"/>
        <v>0</v>
      </c>
      <c r="K26" s="756">
        <f t="shared" si="2"/>
        <v>174.38499023379245</v>
      </c>
      <c r="L26" s="756">
        <f t="shared" si="2"/>
        <v>0</v>
      </c>
      <c r="M26" s="756">
        <f t="shared" si="2"/>
        <v>0</v>
      </c>
      <c r="N26" s="756">
        <f t="shared" si="2"/>
        <v>0</v>
      </c>
      <c r="O26" s="756">
        <f t="shared" si="2"/>
        <v>0</v>
      </c>
      <c r="P26" s="756">
        <f t="shared" si="2"/>
        <v>0</v>
      </c>
      <c r="Q26" s="756">
        <f t="shared" si="2"/>
        <v>0</v>
      </c>
      <c r="R26" s="756">
        <f t="shared" si="2"/>
        <v>9789.3502228877223</v>
      </c>
      <c r="S26" s="68"/>
    </row>
    <row r="27" spans="1:19" s="443" customFormat="1" ht="17.25" thickTop="1" thickBot="1">
      <c r="A27" s="646" t="s">
        <v>109</v>
      </c>
      <c r="B27" s="748"/>
      <c r="C27" s="647">
        <f ca="1">C22+C16+C26</f>
        <v>83866.022688889527</v>
      </c>
      <c r="D27" s="647">
        <f t="shared" ref="D27:R27" ca="1" si="3">D22+D16+D26</f>
        <v>0</v>
      </c>
      <c r="E27" s="647">
        <f t="shared" ca="1" si="3"/>
        <v>52326.872881184034</v>
      </c>
      <c r="F27" s="647">
        <f t="shared" si="3"/>
        <v>2683.8300936798382</v>
      </c>
      <c r="G27" s="647">
        <f t="shared" ca="1" si="3"/>
        <v>77537.666774616024</v>
      </c>
      <c r="H27" s="647">
        <f t="shared" si="3"/>
        <v>61454.812101155367</v>
      </c>
      <c r="I27" s="647">
        <f t="shared" si="3"/>
        <v>9898.1681280681842</v>
      </c>
      <c r="J27" s="647">
        <f t="shared" si="3"/>
        <v>0</v>
      </c>
      <c r="K27" s="647">
        <f t="shared" si="3"/>
        <v>1414.3358800568981</v>
      </c>
      <c r="L27" s="647">
        <f t="shared" si="3"/>
        <v>0</v>
      </c>
      <c r="M27" s="647">
        <f t="shared" ca="1" si="3"/>
        <v>0</v>
      </c>
      <c r="N27" s="647">
        <f t="shared" si="3"/>
        <v>3187.5953617367813</v>
      </c>
      <c r="O27" s="647">
        <f t="shared" ca="1" si="3"/>
        <v>10444.323782677295</v>
      </c>
      <c r="P27" s="647">
        <f t="shared" si="3"/>
        <v>132.88333333333335</v>
      </c>
      <c r="Q27" s="647">
        <f t="shared" si="3"/>
        <v>495.73333333333329</v>
      </c>
      <c r="R27" s="647">
        <f t="shared" ca="1" si="3"/>
        <v>303442.24435873056</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3369.3344156347507</v>
      </c>
      <c r="D40" s="639">
        <f ca="1">tertiair!C20</f>
        <v>0</v>
      </c>
      <c r="E40" s="639">
        <f ca="1">tertiair!D20</f>
        <v>1959.9027851664937</v>
      </c>
      <c r="F40" s="639">
        <f>tertiair!E20</f>
        <v>30.835710245326361</v>
      </c>
      <c r="G40" s="639">
        <f ca="1">tertiair!F20</f>
        <v>778.66668433573898</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6138.7395953823097</v>
      </c>
    </row>
    <row r="41" spans="1:18">
      <c r="A41" s="766" t="s">
        <v>214</v>
      </c>
      <c r="B41" s="773"/>
      <c r="C41" s="639">
        <f ca="1">huishoudens!B12</f>
        <v>6209.4190340795221</v>
      </c>
      <c r="D41" s="639">
        <f ca="1">huishoudens!C12</f>
        <v>0</v>
      </c>
      <c r="E41" s="639">
        <f>huishoudens!D12</f>
        <v>5878.4056155882008</v>
      </c>
      <c r="F41" s="639">
        <f>huishoudens!E12</f>
        <v>457.02762122304648</v>
      </c>
      <c r="G41" s="639">
        <f>huishoudens!F12</f>
        <v>16388.677933973802</v>
      </c>
      <c r="H41" s="639">
        <f>huishoudens!G12</f>
        <v>0</v>
      </c>
      <c r="I41" s="639">
        <f>huishoudens!H12</f>
        <v>0</v>
      </c>
      <c r="J41" s="639">
        <f>huishoudens!I12</f>
        <v>0</v>
      </c>
      <c r="K41" s="639">
        <f>huishoudens!J12</f>
        <v>394.26166701525528</v>
      </c>
      <c r="L41" s="639">
        <f>huishoudens!K12</f>
        <v>0</v>
      </c>
      <c r="M41" s="639">
        <f>huishoudens!L12</f>
        <v>0</v>
      </c>
      <c r="N41" s="639">
        <f>huishoudens!M12</f>
        <v>0</v>
      </c>
      <c r="O41" s="639">
        <f>huishoudens!N12</f>
        <v>0</v>
      </c>
      <c r="P41" s="639">
        <f>huishoudens!O12</f>
        <v>0</v>
      </c>
      <c r="Q41" s="714">
        <f>huishoudens!P12</f>
        <v>0</v>
      </c>
      <c r="R41" s="794">
        <f t="shared" ca="1" si="4"/>
        <v>29327.791871879828</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6745.8693581601774</v>
      </c>
      <c r="D43" s="639">
        <f ca="1">industrie!C22</f>
        <v>0</v>
      </c>
      <c r="E43" s="639">
        <f>industrie!D22</f>
        <v>2491.0944880390871</v>
      </c>
      <c r="F43" s="639">
        <f>industrie!E22</f>
        <v>61.212681382399765</v>
      </c>
      <c r="G43" s="639">
        <f>industrie!F22</f>
        <v>1978.2346455793045</v>
      </c>
      <c r="H43" s="639">
        <f>industrie!G22</f>
        <v>0</v>
      </c>
      <c r="I43" s="639">
        <f>industrie!H22</f>
        <v>0</v>
      </c>
      <c r="J43" s="639">
        <f>industrie!I22</f>
        <v>0</v>
      </c>
      <c r="K43" s="639">
        <f>industrie!J22</f>
        <v>44.68094798212406</v>
      </c>
      <c r="L43" s="639">
        <f>industrie!K22</f>
        <v>0</v>
      </c>
      <c r="M43" s="639">
        <f>industrie!L22</f>
        <v>0</v>
      </c>
      <c r="N43" s="639">
        <f>industrie!M22</f>
        <v>0</v>
      </c>
      <c r="O43" s="639">
        <f>industrie!N22</f>
        <v>0</v>
      </c>
      <c r="P43" s="639">
        <f>industrie!O22</f>
        <v>0</v>
      </c>
      <c r="Q43" s="714">
        <f>industrie!P22</f>
        <v>0</v>
      </c>
      <c r="R43" s="793">
        <f t="shared" ca="1" si="4"/>
        <v>11321.092121143094</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16324.62280787445</v>
      </c>
      <c r="D46" s="672">
        <f t="shared" ref="D46:Q46" ca="1" si="5">SUM(D39:D45)</f>
        <v>0</v>
      </c>
      <c r="E46" s="672">
        <f t="shared" ca="1" si="5"/>
        <v>10329.402888793782</v>
      </c>
      <c r="F46" s="672">
        <f t="shared" si="5"/>
        <v>549.0760128507726</v>
      </c>
      <c r="G46" s="672">
        <f t="shared" ca="1" si="5"/>
        <v>19145.579263888845</v>
      </c>
      <c r="H46" s="672">
        <f t="shared" si="5"/>
        <v>0</v>
      </c>
      <c r="I46" s="672">
        <f t="shared" si="5"/>
        <v>0</v>
      </c>
      <c r="J46" s="672">
        <f t="shared" si="5"/>
        <v>0</v>
      </c>
      <c r="K46" s="672">
        <f t="shared" si="5"/>
        <v>438.94261499737934</v>
      </c>
      <c r="L46" s="672">
        <f t="shared" si="5"/>
        <v>0</v>
      </c>
      <c r="M46" s="672">
        <f t="shared" ca="1" si="5"/>
        <v>0</v>
      </c>
      <c r="N46" s="672">
        <f t="shared" si="5"/>
        <v>0</v>
      </c>
      <c r="O46" s="672">
        <f t="shared" ca="1" si="5"/>
        <v>0</v>
      </c>
      <c r="P46" s="672">
        <f t="shared" si="5"/>
        <v>0</v>
      </c>
      <c r="Q46" s="672">
        <f t="shared" si="5"/>
        <v>0</v>
      </c>
      <c r="R46" s="672">
        <f ca="1">SUM(R39:R45)</f>
        <v>46787.623588405229</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0.90449032144965902</v>
      </c>
      <c r="D49" s="639">
        <f ca="1">transport!C58</f>
        <v>0</v>
      </c>
      <c r="E49" s="639">
        <f>transport!D58</f>
        <v>0</v>
      </c>
      <c r="F49" s="639">
        <f>transport!E58</f>
        <v>0</v>
      </c>
      <c r="G49" s="639">
        <f>transport!F58</f>
        <v>0</v>
      </c>
      <c r="H49" s="639">
        <f>transport!G58</f>
        <v>239.82309253580539</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240.72758285725504</v>
      </c>
    </row>
    <row r="50" spans="1:18">
      <c r="A50" s="769" t="s">
        <v>296</v>
      </c>
      <c r="B50" s="779"/>
      <c r="C50" s="948">
        <f ca="1">transport!B18</f>
        <v>0.6204720108570424</v>
      </c>
      <c r="D50" s="948">
        <f>transport!C18</f>
        <v>0</v>
      </c>
      <c r="E50" s="948">
        <f>transport!D18</f>
        <v>0.78631185895267974</v>
      </c>
      <c r="F50" s="948">
        <f>transport!E18</f>
        <v>56.235263273734823</v>
      </c>
      <c r="G50" s="948">
        <f>transport!F18</f>
        <v>0</v>
      </c>
      <c r="H50" s="948">
        <f>transport!G18</f>
        <v>16168.611738472679</v>
      </c>
      <c r="I50" s="948">
        <f>transport!H18</f>
        <v>2464.6438638889776</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18690.897649505201</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1.5249623323067014</v>
      </c>
      <c r="D52" s="672">
        <f t="shared" ref="D52:Q52" ca="1" si="6">SUM(D48:D51)</f>
        <v>0</v>
      </c>
      <c r="E52" s="672">
        <f t="shared" si="6"/>
        <v>0.78631185895267974</v>
      </c>
      <c r="F52" s="672">
        <f t="shared" si="6"/>
        <v>56.235263273734823</v>
      </c>
      <c r="G52" s="672">
        <f t="shared" si="6"/>
        <v>0</v>
      </c>
      <c r="H52" s="672">
        <f t="shared" si="6"/>
        <v>16408.434831008482</v>
      </c>
      <c r="I52" s="672">
        <f t="shared" si="6"/>
        <v>2464.6438638889776</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18931.625232362458</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351.05340854635659</v>
      </c>
      <c r="D54" s="948">
        <f ca="1">+landbouw!C12</f>
        <v>0</v>
      </c>
      <c r="E54" s="948">
        <f>+landbouw!D12</f>
        <v>17.771110209845574</v>
      </c>
      <c r="F54" s="948">
        <f>+landbouw!E12</f>
        <v>3.9181551408159416</v>
      </c>
      <c r="G54" s="948">
        <f>+landbouw!F12</f>
        <v>1556.9777649336329</v>
      </c>
      <c r="H54" s="948">
        <f>+landbouw!G12</f>
        <v>0</v>
      </c>
      <c r="I54" s="948">
        <f>+landbouw!H12</f>
        <v>0</v>
      </c>
      <c r="J54" s="948">
        <f>+landbouw!I12</f>
        <v>0</v>
      </c>
      <c r="K54" s="948">
        <f>+landbouw!J12</f>
        <v>61.732286542762523</v>
      </c>
      <c r="L54" s="948">
        <f>+landbouw!K12</f>
        <v>0</v>
      </c>
      <c r="M54" s="948">
        <f>+landbouw!L12</f>
        <v>0</v>
      </c>
      <c r="N54" s="948">
        <f>+landbouw!M12</f>
        <v>0</v>
      </c>
      <c r="O54" s="948">
        <f>+landbouw!N12</f>
        <v>0</v>
      </c>
      <c r="P54" s="948">
        <f>+landbouw!O12</f>
        <v>0</v>
      </c>
      <c r="Q54" s="949">
        <f>+landbouw!P12</f>
        <v>0</v>
      </c>
      <c r="R54" s="671">
        <f ca="1">SUM(C54:Q54)</f>
        <v>1991.4527253734134</v>
      </c>
    </row>
    <row r="55" spans="1:18" ht="15" thickBot="1">
      <c r="A55" s="769" t="s">
        <v>847</v>
      </c>
      <c r="B55" s="779"/>
      <c r="C55" s="948">
        <f ca="1">C25*'EF ele_warmte'!B12</f>
        <v>166.92862019143169</v>
      </c>
      <c r="D55" s="948"/>
      <c r="E55" s="948">
        <f>E25*EF_CO2_aardgas</f>
        <v>222.06801113659424</v>
      </c>
      <c r="F55" s="948"/>
      <c r="G55" s="948"/>
      <c r="H55" s="948"/>
      <c r="I55" s="948"/>
      <c r="J55" s="948"/>
      <c r="K55" s="948"/>
      <c r="L55" s="948"/>
      <c r="M55" s="948"/>
      <c r="N55" s="948"/>
      <c r="O55" s="948"/>
      <c r="P55" s="948"/>
      <c r="Q55" s="949"/>
      <c r="R55" s="671">
        <f ca="1">SUM(C55:Q55)</f>
        <v>388.99663132802596</v>
      </c>
    </row>
    <row r="56" spans="1:18" ht="15.75" thickBot="1">
      <c r="A56" s="767" t="s">
        <v>848</v>
      </c>
      <c r="B56" s="780"/>
      <c r="C56" s="672">
        <f ca="1">SUM(C54:C55)</f>
        <v>517.98202873778826</v>
      </c>
      <c r="D56" s="672">
        <f t="shared" ref="D56:Q56" ca="1" si="7">SUM(D54:D55)</f>
        <v>0</v>
      </c>
      <c r="E56" s="672">
        <f t="shared" si="7"/>
        <v>239.83912134643981</v>
      </c>
      <c r="F56" s="672">
        <f t="shared" si="7"/>
        <v>3.9181551408159416</v>
      </c>
      <c r="G56" s="672">
        <f t="shared" si="7"/>
        <v>1556.9777649336329</v>
      </c>
      <c r="H56" s="672">
        <f t="shared" si="7"/>
        <v>0</v>
      </c>
      <c r="I56" s="672">
        <f t="shared" si="7"/>
        <v>0</v>
      </c>
      <c r="J56" s="672">
        <f t="shared" si="7"/>
        <v>0</v>
      </c>
      <c r="K56" s="672">
        <f t="shared" si="7"/>
        <v>61.732286542762523</v>
      </c>
      <c r="L56" s="672">
        <f t="shared" si="7"/>
        <v>0</v>
      </c>
      <c r="M56" s="672">
        <f t="shared" si="7"/>
        <v>0</v>
      </c>
      <c r="N56" s="672">
        <f t="shared" si="7"/>
        <v>0</v>
      </c>
      <c r="O56" s="672">
        <f t="shared" si="7"/>
        <v>0</v>
      </c>
      <c r="P56" s="672">
        <f t="shared" si="7"/>
        <v>0</v>
      </c>
      <c r="Q56" s="673">
        <f t="shared" si="7"/>
        <v>0</v>
      </c>
      <c r="R56" s="674">
        <f ca="1">SUM(R54:R55)</f>
        <v>2380.4493567014392</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16844.129798944545</v>
      </c>
      <c r="D61" s="680">
        <f t="shared" ref="D61:Q61" ca="1" si="8">D46+D52+D56</f>
        <v>0</v>
      </c>
      <c r="E61" s="680">
        <f t="shared" ca="1" si="8"/>
        <v>10570.028321999174</v>
      </c>
      <c r="F61" s="680">
        <f t="shared" si="8"/>
        <v>609.22943126532346</v>
      </c>
      <c r="G61" s="680">
        <f t="shared" ca="1" si="8"/>
        <v>20702.557028822477</v>
      </c>
      <c r="H61" s="680">
        <f t="shared" si="8"/>
        <v>16408.434831008482</v>
      </c>
      <c r="I61" s="680">
        <f t="shared" si="8"/>
        <v>2464.6438638889776</v>
      </c>
      <c r="J61" s="680">
        <f t="shared" si="8"/>
        <v>0</v>
      </c>
      <c r="K61" s="680">
        <f t="shared" si="8"/>
        <v>500.67490154014183</v>
      </c>
      <c r="L61" s="680">
        <f t="shared" si="8"/>
        <v>0</v>
      </c>
      <c r="M61" s="680">
        <f t="shared" ca="1" si="8"/>
        <v>0</v>
      </c>
      <c r="N61" s="680">
        <f t="shared" si="8"/>
        <v>0</v>
      </c>
      <c r="O61" s="680">
        <f t="shared" ca="1" si="8"/>
        <v>0</v>
      </c>
      <c r="P61" s="680">
        <f t="shared" si="8"/>
        <v>0</v>
      </c>
      <c r="Q61" s="680">
        <f t="shared" si="8"/>
        <v>0</v>
      </c>
      <c r="R61" s="680">
        <f ca="1">R46+R52+R56</f>
        <v>68099.698177469123</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0.20084569720719611</v>
      </c>
      <c r="D63" s="724">
        <f t="shared" ca="1" si="9"/>
        <v>0</v>
      </c>
      <c r="E63" s="950">
        <f t="shared" ca="1" si="9"/>
        <v>0.20199999999999999</v>
      </c>
      <c r="F63" s="724">
        <f t="shared" si="9"/>
        <v>0.22700000000000006</v>
      </c>
      <c r="G63" s="724">
        <f t="shared" ca="1" si="9"/>
        <v>0.26699999999999996</v>
      </c>
      <c r="H63" s="724">
        <f t="shared" si="9"/>
        <v>0.26700000000000002</v>
      </c>
      <c r="I63" s="724">
        <f t="shared" si="9"/>
        <v>0.24899999999999997</v>
      </c>
      <c r="J63" s="724">
        <f t="shared" si="9"/>
        <v>0</v>
      </c>
      <c r="K63" s="724">
        <f t="shared" si="9"/>
        <v>0.35399999999999993</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7648.2407932128335</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7648.2407932128335</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30916.365749542398</v>
      </c>
      <c r="C4" s="447">
        <f>huishoudens!C8</f>
        <v>0</v>
      </c>
      <c r="D4" s="447">
        <f>huishoudens!D8</f>
        <v>29101.017898951486</v>
      </c>
      <c r="E4" s="447">
        <f>huishoudens!E8</f>
        <v>2013.3375384275175</v>
      </c>
      <c r="F4" s="447">
        <f>huishoudens!F8</f>
        <v>61380.816232111618</v>
      </c>
      <c r="G4" s="447">
        <f>huishoudens!G8</f>
        <v>0</v>
      </c>
      <c r="H4" s="447">
        <f>huishoudens!H8</f>
        <v>0</v>
      </c>
      <c r="I4" s="447">
        <f>huishoudens!I8</f>
        <v>0</v>
      </c>
      <c r="J4" s="447">
        <f>huishoudens!J8</f>
        <v>1113.7335226419641</v>
      </c>
      <c r="K4" s="447">
        <f>huishoudens!K8</f>
        <v>0</v>
      </c>
      <c r="L4" s="447">
        <f>huishoudens!L8</f>
        <v>0</v>
      </c>
      <c r="M4" s="447">
        <f>huishoudens!M8</f>
        <v>0</v>
      </c>
      <c r="N4" s="447">
        <f>huishoudens!N8</f>
        <v>8858.3162648758662</v>
      </c>
      <c r="O4" s="447">
        <f>huishoudens!O8</f>
        <v>131.32000000000002</v>
      </c>
      <c r="P4" s="448">
        <f>huishoudens!P8</f>
        <v>476.66666666666663</v>
      </c>
      <c r="Q4" s="449">
        <f>SUM(B4:P4)</f>
        <v>133991.57387321751</v>
      </c>
    </row>
    <row r="5" spans="1:17">
      <c r="A5" s="446" t="s">
        <v>149</v>
      </c>
      <c r="B5" s="447">
        <f ca="1">tertiair!B16</f>
        <v>15456.550112279681</v>
      </c>
      <c r="C5" s="447">
        <f ca="1">tertiair!C16</f>
        <v>0</v>
      </c>
      <c r="D5" s="447">
        <f ca="1">tertiair!D16</f>
        <v>9702.4890354776908</v>
      </c>
      <c r="E5" s="447">
        <f>tertiair!E16</f>
        <v>135.84013323932317</v>
      </c>
      <c r="F5" s="447">
        <f ca="1">tertiair!F16</f>
        <v>2916.3546229802955</v>
      </c>
      <c r="G5" s="447">
        <f>tertiair!G16</f>
        <v>0</v>
      </c>
      <c r="H5" s="447">
        <f>tertiair!H16</f>
        <v>0</v>
      </c>
      <c r="I5" s="447">
        <f>tertiair!I16</f>
        <v>0</v>
      </c>
      <c r="J5" s="447">
        <f>tertiair!J16</f>
        <v>0</v>
      </c>
      <c r="K5" s="447">
        <f>tertiair!K16</f>
        <v>0</v>
      </c>
      <c r="L5" s="447">
        <f ca="1">tertiair!L16</f>
        <v>0</v>
      </c>
      <c r="M5" s="447">
        <f>tertiair!M16</f>
        <v>0</v>
      </c>
      <c r="N5" s="447">
        <f ca="1">tertiair!N16</f>
        <v>519.02500503220438</v>
      </c>
      <c r="O5" s="447">
        <f>tertiair!O16</f>
        <v>1.5633333333333335</v>
      </c>
      <c r="P5" s="448">
        <f>tertiair!P16</f>
        <v>19.066666666666666</v>
      </c>
      <c r="Q5" s="446">
        <f t="shared" ref="Q5:Q14" ca="1" si="0">SUM(B5:P5)</f>
        <v>28750.888909009191</v>
      </c>
    </row>
    <row r="6" spans="1:17">
      <c r="A6" s="446" t="s">
        <v>187</v>
      </c>
      <c r="B6" s="447">
        <f>'openbare verlichting'!B8</f>
        <v>1319.1859999999999</v>
      </c>
      <c r="C6" s="447"/>
      <c r="D6" s="447"/>
      <c r="E6" s="447"/>
      <c r="F6" s="447"/>
      <c r="G6" s="447"/>
      <c r="H6" s="447"/>
      <c r="I6" s="447"/>
      <c r="J6" s="447"/>
      <c r="K6" s="447"/>
      <c r="L6" s="447"/>
      <c r="M6" s="447"/>
      <c r="N6" s="447"/>
      <c r="O6" s="447"/>
      <c r="P6" s="448"/>
      <c r="Q6" s="446">
        <f t="shared" si="0"/>
        <v>1319.1859999999999</v>
      </c>
    </row>
    <row r="7" spans="1:17">
      <c r="A7" s="446" t="s">
        <v>105</v>
      </c>
      <c r="B7" s="447">
        <f>landbouw!B8</f>
        <v>1747.876172742717</v>
      </c>
      <c r="C7" s="447">
        <f>landbouw!C8</f>
        <v>0</v>
      </c>
      <c r="D7" s="447">
        <f>landbouw!D8</f>
        <v>87.975793118047392</v>
      </c>
      <c r="E7" s="447">
        <f>landbouw!E8</f>
        <v>17.260595333990931</v>
      </c>
      <c r="F7" s="447">
        <f>landbouw!F8</f>
        <v>5831.3773967551788</v>
      </c>
      <c r="G7" s="447">
        <f>landbouw!G8</f>
        <v>0</v>
      </c>
      <c r="H7" s="447">
        <f>landbouw!H8</f>
        <v>0</v>
      </c>
      <c r="I7" s="447">
        <f>landbouw!I8</f>
        <v>0</v>
      </c>
      <c r="J7" s="447">
        <f>landbouw!J8</f>
        <v>174.38499023379245</v>
      </c>
      <c r="K7" s="447">
        <f>landbouw!K8</f>
        <v>0</v>
      </c>
      <c r="L7" s="447">
        <f>landbouw!L8</f>
        <v>0</v>
      </c>
      <c r="M7" s="447">
        <f>landbouw!M8</f>
        <v>0</v>
      </c>
      <c r="N7" s="447">
        <f>landbouw!N8</f>
        <v>0</v>
      </c>
      <c r="O7" s="447">
        <f>landbouw!O8</f>
        <v>0</v>
      </c>
      <c r="P7" s="448">
        <f>landbouw!P8</f>
        <v>0</v>
      </c>
      <c r="Q7" s="446">
        <f t="shared" si="0"/>
        <v>7858.8749481837267</v>
      </c>
    </row>
    <row r="8" spans="1:17">
      <c r="A8" s="446" t="s">
        <v>640</v>
      </c>
      <c r="B8" s="447">
        <f>industrie!B18</f>
        <v>33587.32326339565</v>
      </c>
      <c r="C8" s="447">
        <f>industrie!C18</f>
        <v>0</v>
      </c>
      <c r="D8" s="447">
        <f>industrie!D18</f>
        <v>12332.150930886568</v>
      </c>
      <c r="E8" s="447">
        <f>industrie!E18</f>
        <v>269.65938934977868</v>
      </c>
      <c r="F8" s="447">
        <f>industrie!F18</f>
        <v>7409.1185227689302</v>
      </c>
      <c r="G8" s="447">
        <f>industrie!G18</f>
        <v>0</v>
      </c>
      <c r="H8" s="447">
        <f>industrie!H18</f>
        <v>0</v>
      </c>
      <c r="I8" s="447">
        <f>industrie!I18</f>
        <v>0</v>
      </c>
      <c r="J8" s="447">
        <f>industrie!J18</f>
        <v>126.21736718114141</v>
      </c>
      <c r="K8" s="447">
        <f>industrie!K18</f>
        <v>0</v>
      </c>
      <c r="L8" s="447">
        <f>industrie!L18</f>
        <v>0</v>
      </c>
      <c r="M8" s="447">
        <f>industrie!M18</f>
        <v>0</v>
      </c>
      <c r="N8" s="447">
        <f>industrie!N18</f>
        <v>1066.9825127692243</v>
      </c>
      <c r="O8" s="447">
        <f>industrie!O18</f>
        <v>0</v>
      </c>
      <c r="P8" s="448">
        <f>industrie!P18</f>
        <v>0</v>
      </c>
      <c r="Q8" s="446">
        <f t="shared" si="0"/>
        <v>54791.451986351283</v>
      </c>
    </row>
    <row r="9" spans="1:17" s="452" customFormat="1">
      <c r="A9" s="450" t="s">
        <v>560</v>
      </c>
      <c r="B9" s="451">
        <f>transport!B14</f>
        <v>3.0892970050384099</v>
      </c>
      <c r="C9" s="451">
        <f>transport!C14</f>
        <v>0</v>
      </c>
      <c r="D9" s="451">
        <f>transport!D14</f>
        <v>3.8926329651122757</v>
      </c>
      <c r="E9" s="451">
        <f>transport!E14</f>
        <v>247.73243732922828</v>
      </c>
      <c r="F9" s="451">
        <f>transport!F14</f>
        <v>0</v>
      </c>
      <c r="G9" s="451">
        <f>transport!G14</f>
        <v>60556.598271433249</v>
      </c>
      <c r="H9" s="451">
        <f>transport!H14</f>
        <v>9898.1681280681842</v>
      </c>
      <c r="I9" s="451">
        <f>transport!I14</f>
        <v>0</v>
      </c>
      <c r="J9" s="451">
        <f>transport!J14</f>
        <v>0</v>
      </c>
      <c r="K9" s="451">
        <f>transport!K14</f>
        <v>0</v>
      </c>
      <c r="L9" s="451">
        <f>transport!L14</f>
        <v>0</v>
      </c>
      <c r="M9" s="451">
        <f>transport!M14</f>
        <v>3147.8952670993485</v>
      </c>
      <c r="N9" s="451">
        <f>transport!N14</f>
        <v>0</v>
      </c>
      <c r="O9" s="451">
        <f>transport!O14</f>
        <v>0</v>
      </c>
      <c r="P9" s="451">
        <f>transport!P14</f>
        <v>0</v>
      </c>
      <c r="Q9" s="450">
        <f>SUM(B9:P9)</f>
        <v>73857.37603390016</v>
      </c>
    </row>
    <row r="10" spans="1:17">
      <c r="A10" s="446" t="s">
        <v>550</v>
      </c>
      <c r="B10" s="447">
        <f>transport!B54</f>
        <v>4.5034090051556843</v>
      </c>
      <c r="C10" s="447">
        <f>transport!C54</f>
        <v>0</v>
      </c>
      <c r="D10" s="447">
        <f>transport!D54</f>
        <v>0</v>
      </c>
      <c r="E10" s="447">
        <f>transport!E54</f>
        <v>0</v>
      </c>
      <c r="F10" s="447">
        <f>transport!F54</f>
        <v>0</v>
      </c>
      <c r="G10" s="447">
        <f>transport!G54</f>
        <v>898.21382972211745</v>
      </c>
      <c r="H10" s="447">
        <f>transport!H54</f>
        <v>0</v>
      </c>
      <c r="I10" s="447">
        <f>transport!I54</f>
        <v>0</v>
      </c>
      <c r="J10" s="447">
        <f>transport!J54</f>
        <v>0</v>
      </c>
      <c r="K10" s="447">
        <f>transport!K54</f>
        <v>0</v>
      </c>
      <c r="L10" s="447">
        <f>transport!L54</f>
        <v>0</v>
      </c>
      <c r="M10" s="447">
        <f>transport!M54</f>
        <v>39.700094637432649</v>
      </c>
      <c r="N10" s="447">
        <f>transport!N54</f>
        <v>0</v>
      </c>
      <c r="O10" s="447">
        <f>transport!O54</f>
        <v>0</v>
      </c>
      <c r="P10" s="448">
        <f>transport!P54</f>
        <v>0</v>
      </c>
      <c r="Q10" s="446">
        <f t="shared" si="0"/>
        <v>942.41733336470588</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831.12868491887605</v>
      </c>
      <c r="C14" s="454"/>
      <c r="D14" s="454">
        <f>'SEAP template'!E25</f>
        <v>1099.3465897851199</v>
      </c>
      <c r="E14" s="454"/>
      <c r="F14" s="454"/>
      <c r="G14" s="454"/>
      <c r="H14" s="454"/>
      <c r="I14" s="454"/>
      <c r="J14" s="454"/>
      <c r="K14" s="454"/>
      <c r="L14" s="454"/>
      <c r="M14" s="454"/>
      <c r="N14" s="454"/>
      <c r="O14" s="454"/>
      <c r="P14" s="455"/>
      <c r="Q14" s="446">
        <f t="shared" si="0"/>
        <v>1930.4752747039961</v>
      </c>
    </row>
    <row r="15" spans="1:17" s="459" customFormat="1">
      <c r="A15" s="456" t="s">
        <v>554</v>
      </c>
      <c r="B15" s="457">
        <f ca="1">SUM(B4:B14)</f>
        <v>83866.022688889512</v>
      </c>
      <c r="C15" s="457">
        <f t="shared" ref="C15:Q15" ca="1" si="1">SUM(C4:C14)</f>
        <v>0</v>
      </c>
      <c r="D15" s="457">
        <f t="shared" ca="1" si="1"/>
        <v>52326.872881184034</v>
      </c>
      <c r="E15" s="457">
        <f t="shared" si="1"/>
        <v>2683.8300936798382</v>
      </c>
      <c r="F15" s="457">
        <f t="shared" ca="1" si="1"/>
        <v>77537.666774616024</v>
      </c>
      <c r="G15" s="457">
        <f t="shared" si="1"/>
        <v>61454.812101155367</v>
      </c>
      <c r="H15" s="457">
        <f t="shared" si="1"/>
        <v>9898.1681280681842</v>
      </c>
      <c r="I15" s="457">
        <f t="shared" si="1"/>
        <v>0</v>
      </c>
      <c r="J15" s="457">
        <f t="shared" si="1"/>
        <v>1414.3358800568981</v>
      </c>
      <c r="K15" s="457">
        <f t="shared" si="1"/>
        <v>0</v>
      </c>
      <c r="L15" s="457">
        <f t="shared" ca="1" si="1"/>
        <v>0</v>
      </c>
      <c r="M15" s="457">
        <f t="shared" si="1"/>
        <v>3187.5953617367813</v>
      </c>
      <c r="N15" s="457">
        <f t="shared" ca="1" si="1"/>
        <v>10444.323782677295</v>
      </c>
      <c r="O15" s="457">
        <f t="shared" si="1"/>
        <v>132.88333333333335</v>
      </c>
      <c r="P15" s="457">
        <f t="shared" si="1"/>
        <v>495.73333333333329</v>
      </c>
      <c r="Q15" s="457">
        <f t="shared" ca="1" si="1"/>
        <v>303442.24435873056</v>
      </c>
    </row>
    <row r="17" spans="1:17">
      <c r="A17" s="460" t="s">
        <v>555</v>
      </c>
      <c r="B17" s="729">
        <f ca="1">huishoudens!B10</f>
        <v>0.20084569720719614</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6209.4190340795221</v>
      </c>
      <c r="C22" s="447">
        <f t="shared" ref="C22:C32" ca="1" si="3">C4*$C$17</f>
        <v>0</v>
      </c>
      <c r="D22" s="447">
        <f t="shared" ref="D22:D32" si="4">D4*$D$17</f>
        <v>5878.4056155882008</v>
      </c>
      <c r="E22" s="447">
        <f t="shared" ref="E22:E32" si="5">E4*$E$17</f>
        <v>457.02762122304648</v>
      </c>
      <c r="F22" s="447">
        <f t="shared" ref="F22:F32" si="6">F4*$F$17</f>
        <v>16388.677933973802</v>
      </c>
      <c r="G22" s="447">
        <f t="shared" ref="G22:G32" si="7">G4*$G$17</f>
        <v>0</v>
      </c>
      <c r="H22" s="447">
        <f t="shared" ref="H22:H32" si="8">H4*$H$17</f>
        <v>0</v>
      </c>
      <c r="I22" s="447">
        <f t="shared" ref="I22:I32" si="9">I4*$I$17</f>
        <v>0</v>
      </c>
      <c r="J22" s="447">
        <f t="shared" ref="J22:J32" si="10">J4*$J$17</f>
        <v>394.26166701525528</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29327.791871879828</v>
      </c>
    </row>
    <row r="23" spans="1:17">
      <c r="A23" s="446" t="s">
        <v>149</v>
      </c>
      <c r="B23" s="447">
        <f t="shared" ca="1" si="2"/>
        <v>3104.3815837187785</v>
      </c>
      <c r="C23" s="447">
        <f t="shared" ca="1" si="3"/>
        <v>0</v>
      </c>
      <c r="D23" s="447">
        <f t="shared" ca="1" si="4"/>
        <v>1959.9027851664937</v>
      </c>
      <c r="E23" s="447">
        <f t="shared" si="5"/>
        <v>30.835710245326361</v>
      </c>
      <c r="F23" s="447">
        <f t="shared" ca="1" si="6"/>
        <v>778.66668433573898</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5873.7867634663371</v>
      </c>
    </row>
    <row r="24" spans="1:17">
      <c r="A24" s="446" t="s">
        <v>187</v>
      </c>
      <c r="B24" s="447">
        <f t="shared" ca="1" si="2"/>
        <v>264.95283191597224</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264.95283191597224</v>
      </c>
    </row>
    <row r="25" spans="1:17">
      <c r="A25" s="446" t="s">
        <v>105</v>
      </c>
      <c r="B25" s="447">
        <f t="shared" ca="1" si="2"/>
        <v>351.05340854635659</v>
      </c>
      <c r="C25" s="447">
        <f t="shared" ca="1" si="3"/>
        <v>0</v>
      </c>
      <c r="D25" s="447">
        <f t="shared" si="4"/>
        <v>17.771110209845574</v>
      </c>
      <c r="E25" s="447">
        <f t="shared" si="5"/>
        <v>3.9181551408159416</v>
      </c>
      <c r="F25" s="447">
        <f t="shared" si="6"/>
        <v>1556.9777649336329</v>
      </c>
      <c r="G25" s="447">
        <f t="shared" si="7"/>
        <v>0</v>
      </c>
      <c r="H25" s="447">
        <f t="shared" si="8"/>
        <v>0</v>
      </c>
      <c r="I25" s="447">
        <f t="shared" si="9"/>
        <v>0</v>
      </c>
      <c r="J25" s="447">
        <f t="shared" si="10"/>
        <v>61.732286542762523</v>
      </c>
      <c r="K25" s="447">
        <f t="shared" si="11"/>
        <v>0</v>
      </c>
      <c r="L25" s="447">
        <f t="shared" si="12"/>
        <v>0</v>
      </c>
      <c r="M25" s="447">
        <f t="shared" si="13"/>
        <v>0</v>
      </c>
      <c r="N25" s="447">
        <f t="shared" si="14"/>
        <v>0</v>
      </c>
      <c r="O25" s="447">
        <f t="shared" si="15"/>
        <v>0</v>
      </c>
      <c r="P25" s="448">
        <f t="shared" si="16"/>
        <v>0</v>
      </c>
      <c r="Q25" s="446">
        <f t="shared" ca="1" si="17"/>
        <v>1991.4527253734134</v>
      </c>
    </row>
    <row r="26" spans="1:17">
      <c r="A26" s="446" t="s">
        <v>640</v>
      </c>
      <c r="B26" s="447">
        <f t="shared" ca="1" si="2"/>
        <v>6745.8693581601774</v>
      </c>
      <c r="C26" s="447">
        <f t="shared" ca="1" si="3"/>
        <v>0</v>
      </c>
      <c r="D26" s="447">
        <f t="shared" si="4"/>
        <v>2491.0944880390871</v>
      </c>
      <c r="E26" s="447">
        <f t="shared" si="5"/>
        <v>61.212681382399765</v>
      </c>
      <c r="F26" s="447">
        <f t="shared" si="6"/>
        <v>1978.2346455793045</v>
      </c>
      <c r="G26" s="447">
        <f t="shared" si="7"/>
        <v>0</v>
      </c>
      <c r="H26" s="447">
        <f t="shared" si="8"/>
        <v>0</v>
      </c>
      <c r="I26" s="447">
        <f t="shared" si="9"/>
        <v>0</v>
      </c>
      <c r="J26" s="447">
        <f t="shared" si="10"/>
        <v>44.68094798212406</v>
      </c>
      <c r="K26" s="447">
        <f t="shared" si="11"/>
        <v>0</v>
      </c>
      <c r="L26" s="447">
        <f t="shared" si="12"/>
        <v>0</v>
      </c>
      <c r="M26" s="447">
        <f t="shared" si="13"/>
        <v>0</v>
      </c>
      <c r="N26" s="447">
        <f t="shared" si="14"/>
        <v>0</v>
      </c>
      <c r="O26" s="447">
        <f t="shared" si="15"/>
        <v>0</v>
      </c>
      <c r="P26" s="448">
        <f t="shared" si="16"/>
        <v>0</v>
      </c>
      <c r="Q26" s="446">
        <f t="shared" ca="1" si="17"/>
        <v>11321.092121143094</v>
      </c>
    </row>
    <row r="27" spans="1:17" s="452" customFormat="1">
      <c r="A27" s="450" t="s">
        <v>560</v>
      </c>
      <c r="B27" s="723">
        <f t="shared" ca="1" si="2"/>
        <v>0.6204720108570424</v>
      </c>
      <c r="C27" s="451">
        <f t="shared" ca="1" si="3"/>
        <v>0</v>
      </c>
      <c r="D27" s="451">
        <f t="shared" si="4"/>
        <v>0.78631185895267974</v>
      </c>
      <c r="E27" s="451">
        <f t="shared" si="5"/>
        <v>56.235263273734823</v>
      </c>
      <c r="F27" s="451">
        <f t="shared" si="6"/>
        <v>0</v>
      </c>
      <c r="G27" s="451">
        <f t="shared" si="7"/>
        <v>16168.611738472679</v>
      </c>
      <c r="H27" s="451">
        <f t="shared" si="8"/>
        <v>2464.6438638889776</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18690.897649505201</v>
      </c>
    </row>
    <row r="28" spans="1:17">
      <c r="A28" s="446" t="s">
        <v>550</v>
      </c>
      <c r="B28" s="447">
        <f t="shared" ca="1" si="2"/>
        <v>0.90449032144965902</v>
      </c>
      <c r="C28" s="447">
        <f t="shared" ca="1" si="3"/>
        <v>0</v>
      </c>
      <c r="D28" s="447">
        <f t="shared" si="4"/>
        <v>0</v>
      </c>
      <c r="E28" s="447">
        <f t="shared" si="5"/>
        <v>0</v>
      </c>
      <c r="F28" s="447">
        <f t="shared" si="6"/>
        <v>0</v>
      </c>
      <c r="G28" s="447">
        <f t="shared" si="7"/>
        <v>239.82309253580539</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240.72758285725504</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166.92862019143169</v>
      </c>
      <c r="C32" s="447">
        <f t="shared" ca="1" si="3"/>
        <v>0</v>
      </c>
      <c r="D32" s="447">
        <f t="shared" si="4"/>
        <v>222.06801113659424</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388.99663132802596</v>
      </c>
    </row>
    <row r="33" spans="1:17" s="459" customFormat="1">
      <c r="A33" s="456" t="s">
        <v>554</v>
      </c>
      <c r="B33" s="457">
        <f ca="1">SUM(B22:B32)</f>
        <v>16844.129798944548</v>
      </c>
      <c r="C33" s="457">
        <f t="shared" ref="C33:Q33" ca="1" si="18">SUM(C22:C32)</f>
        <v>0</v>
      </c>
      <c r="D33" s="457">
        <f t="shared" ca="1" si="18"/>
        <v>10570.028321999174</v>
      </c>
      <c r="E33" s="457">
        <f t="shared" si="18"/>
        <v>609.22943126532346</v>
      </c>
      <c r="F33" s="457">
        <f t="shared" ca="1" si="18"/>
        <v>20702.557028822477</v>
      </c>
      <c r="G33" s="457">
        <f t="shared" si="18"/>
        <v>16408.434831008482</v>
      </c>
      <c r="H33" s="457">
        <f t="shared" si="18"/>
        <v>2464.6438638889776</v>
      </c>
      <c r="I33" s="457">
        <f t="shared" si="18"/>
        <v>0</v>
      </c>
      <c r="J33" s="457">
        <f t="shared" si="18"/>
        <v>500.67490154014183</v>
      </c>
      <c r="K33" s="457">
        <f t="shared" si="18"/>
        <v>0</v>
      </c>
      <c r="L33" s="457">
        <f t="shared" ca="1" si="18"/>
        <v>0</v>
      </c>
      <c r="M33" s="457">
        <f t="shared" si="18"/>
        <v>0</v>
      </c>
      <c r="N33" s="457">
        <f t="shared" ca="1" si="18"/>
        <v>0</v>
      </c>
      <c r="O33" s="457">
        <f t="shared" si="18"/>
        <v>0</v>
      </c>
      <c r="P33" s="457">
        <f t="shared" si="18"/>
        <v>0</v>
      </c>
      <c r="Q33" s="457">
        <f t="shared" ca="1" si="18"/>
        <v>68099.698177469138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7648.2407932128335</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7648.2407932128335</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0.20084569720719614</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0.20084569720719614</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2022-07-26T12:29:21Z</dcterms:modified>
</cp:coreProperties>
</file>