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9AB50FEC-63BC-4D55-879F-1692BBB06210}"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<sst xmlns="http://schemas.openxmlformats.org/spreadsheetml/2006/main" count="2497" uniqueCount="945">
  <si>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</si>
  <si>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</si>
  <si>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</si>
  <si>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</si>
  <si>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</si>
  <si>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</si>
  <si>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</si>
  <si>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</si>
  <si>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</si>
  <si>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</si>
  <si>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</si>
  <si>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</si>
  <si>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</si>
  <si>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</si>
  <si>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</si>
  <si>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</si>
  <si>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</si>
  <si>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</si>
  <si>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</si>
  <si>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</si>
  <si>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</si>
  <si>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</si>
  <si>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</si>
  <si>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</si>
  <si>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</si>
  <si>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</si>
  <si>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</si>
  <si>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</si>
  <si>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</si>
  <si>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</si>
  <si>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</si>
  <si>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</si>
  <si>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</si>
  <si>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</si>
  <si>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</si>
  <si>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</si>
  <si>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</si>
  <si>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</si>
  <si>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</si>
  <si>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</si>
  <si>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</si>
  <si>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</si>
  <si>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</si>
  <si>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</si>
  <si>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</si>
  <si>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</si>
  <si>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</si>
  <si>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</si>
  <si>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</si>
  <si>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</si>
  <si>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</si>
  <si>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</si>
  <si>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</si>
  <si>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</si>
  <si>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</si>
  <si>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</si>
  <si>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</si>
  <si>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</si>
  <si>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</si>
  <si>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</si>
  <si>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</si>
  <si>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</si>
  <si>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</si>
  <si>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</si>
  <si>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</si>
  <si>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</si>
  <si>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</si>
  <si>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</si>
  <si>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</si>
  <si>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</si>
  <si>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</si>
  <si>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</si>
  <si>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</si>
  <si>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</si>
  <si>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</si>
  <si>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</si>
  <si>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</si>
  <si>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</si>
  <si>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</si>
  <si>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</si>
  <si>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</si>
  <si>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</si>
  <si>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</si>
  <si>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</si>
  <si>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</si>
  <si>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</si>
  <si>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</si>
  <si>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</si>
  <si>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</si>
  <si>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</si>
  <si>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</si>
  <si>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</si>
  <si>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</si>
  <si>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</si>
  <si>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</si>
  <si>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</si>
  <si>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</si>
  <si>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</si>
  <si>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</si>
  <si>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</si>
  <si>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</si>
  <si>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</si>
  <si>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</si>
  <si>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</si>
  <si>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</si>
  <si>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</si>
  <si>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</si>
  <si>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</si>
  <si>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</si>
  <si>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</si>
  <si>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</si>
  <si>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</si>
  <si>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</si>
  <si>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</si>
  <si>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</si>
  <si>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</si>
  <si>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</si>
  <si>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</si>
  <si>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</si>
  <si>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</si>
  <si>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</si>
  <si>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</si>
  <si>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</si>
  <si>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</si>
  <si>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</si>
  <si>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</si>
  <si>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</si>
  <si>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</si>
  <si>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</si>
  <si>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</si>
  <si>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</si>
  <si>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</si>
  <si>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</si>
  <si>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</si>
  <si>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</si>
  <si>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</si>
  <si>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</si>
  <si>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</si>
  <si>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</si>
  <si>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</si>
  <si>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</si>
  <si>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</si>
  <si>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</si>
  <si>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</si>
  <si>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</si>
  <si>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</si>
  <si>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</si>
  <si>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</si>
  <si>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</si>
  <si>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</si>
  <si>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</si>
  <si>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</si>
  <si>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</si>
  <si>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</si>
  <si>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</si>
  <si>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</si>
  <si>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</si>
  <si>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</si>
  <si>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</si>
  <si>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</si>
  <si>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</si>
  <si>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</si>
  <si>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</si>
  <si>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</si>
  <si>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</si>
  <si>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</si>
  <si>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</si>
  <si>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</si>
  <si>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</si>
  <si>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</si>
  <si>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</si>
  <si>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</si>
  <si>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</si>
  <si>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</si>
  <si>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</si>
  <si>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</si>
  <si>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</si>
  <si>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</si>
  <si>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</si>
  <si>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</si>
  <si>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</si>
  <si>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</si>
  <si>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</si>
  <si>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</si>
  <si>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</si>
  <si>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</si>
  <si>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</si>
  <si>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</si>
  <si>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</si>
  <si>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</si>
  <si>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</si>
  <si>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</si>
  <si>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</si>
  <si>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</si>
  <si>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</si>
  <si>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</si>
  <si>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</si>
  <si>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</si>
  <si>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</si>
  <si>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</si>
  <si>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</si>
  <si>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</si>
  <si>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</si>
  <si>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</si>
  <si>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</si>
  <si>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</si>
  <si>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</si>
  <si>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</si>
  <si>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</si>
  <si>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</si>
  <si>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</si>
  <si>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</si>
  <si>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</si>
  <si>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</si>
  <si>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</si>
  <si>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</si>
  <si>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</si>
  <si>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</si>
  <si>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</si>
  <si>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</si>
  <si>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</si>
  <si>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</si>
  <si>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</si>
  <si>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</si>
  <si>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</si>
  <si>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</si>
  <si>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</si>
  <si>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</si>
  <si>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</si>
  <si>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</si>
  <si>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</si>
  <si>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</si>
  <si>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</si>
  <si>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</si>
  <si>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</si>
  <si>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</si>
  <si>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</si>
  <si>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</si>
  <si>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</si>
  <si>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</si>
  <si>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</si>
  <si>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</si>
  <si>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</si>
  <si>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</si>
  <si>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</si>
  <si>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</si>
  <si>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</si>
  <si>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</si>
  <si>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</si>
  <si>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</si>
  <si>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</si>
  <si>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</si>
  <si>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</si>
  <si>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</si>
  <si>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</si>
  <si>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</si>
  <si>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</si>
  <si>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</si>
  <si>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</si>
  <si>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</si>
  <si>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</si>
  <si>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</si>
  <si>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</si>
  <si>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</si>
  <si>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</si>
  <si>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</si>
  <si>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</si>
  <si>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</si>
  <si>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</si>
  <si>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</si>
  <si>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</si>
  <si>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</si>
  <si>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</si>
  <si>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</si>
  <si>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</si>
  <si>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</si>
  <si>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</si>
  <si>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</si>
  <si>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</si>
  <si>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</si>
  <si>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</si>
  <si>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</si>
  <si>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</si>
  <si>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</si>
  <si>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</si>
  <si>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</si>
  <si>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</si>
  <si>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</si>
  <si>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</si>
  <si>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</si>
  <si>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</si>
  <si>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</si>
  <si>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</si>
  <si>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</si>
  <si>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</si>
  <si>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</si>
  <si>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</si>
  <si>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</si>
  <si>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</si>
  <si>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</si>
  <si>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</si>
  <si>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</si>
  <si>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</si>
  <si>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</si>
  <si>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</si>
  <si>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</si>
  <si>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</si>
  <si>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</si>
  <si>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</si>
  <si>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</si>
  <si>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</si>
  <si>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</si>
  <si>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</si>
  <si>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</si>
  <si>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</si>
  <si>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</si>
  <si>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</si>
  <si>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</si>
  <si>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</si>
  <si>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</si>
  <si>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</si>
  <si>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</si>
  <si>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</si>
  <si>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</si>
  <si>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</si>
  <si>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</si>
  <si>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</si>
  <si>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</si>
  <si>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</si>
  <si>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</si>
  <si>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</si>
  <si>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</si>
  <si>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</si>
  <si>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</si>
  <si>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</si>
  <si>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</si>
  <si>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</si>
  <si>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</si>
  <si>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</si>
  <si>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</si>
  <si>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</si>
  <si>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</si>
  <si>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</si>
  <si>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</si>
  <si>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</si>
  <si>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</si>
  <si>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</si>
  <si>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</si>
  <si>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</si>
  <si>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</si>
  <si>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</si>
  <si>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</si>
  <si>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</si>
  <si>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</si>
  <si>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</si>
  <si>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</si>
  <si>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</si>
  <si>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</si>
  <si>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</si>
  <si>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</si>
  <si>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</si>
  <si>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</si>
  <si>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</si>
  <si>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</si>
  <si>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</si>
  <si>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</si>
  <si>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</si>
  <si>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</si>
  <si>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</si>
  <si>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</si>
  <si>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</si>
  <si>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</si>
  <si>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</si>
  <si>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</si>
  <si>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</si>
  <si>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</si>
  <si>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</si>
  <si>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</si>
  <si>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</si>
  <si>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</si>
  <si>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</si>
  <si>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</si>
  <si>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</si>
  <si>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</si>
  <si>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</si>
  <si>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</si>
  <si>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</si>
  <si>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</si>
  <si>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</si>
  <si>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</si>
  <si>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</si>
  <si>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</si>
  <si>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</si>
  <si>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</si>
  <si>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</si>
  <si>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</si>
  <si>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</si>
  <si>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</si>
  <si>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</si>
  <si>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</si>
  <si>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</si>
  <si>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</si>
  <si>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</si>
  <si>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</si>
  <si>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</si>
  <si>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</si>
  <si>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</si>
  <si>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</si>
  <si>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</si>
  <si>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</si>
  <si>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</si>
  <si>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</si>
  <si>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</si>
  <si>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</si>
  <si>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</si>
  <si>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</si>
  <si>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</si>
  <si>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</si>
  <si>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</si>
  <si>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</si>
  <si>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</si>
  <si>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</si>
  <si>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</si>
  <si>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</si>
  <si>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</si>
  <si>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</si>
  <si>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</si>
  <si>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</si>
  <si>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</si>
  <si>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</si>
  <si>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</si>
  <si>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</si>
  <si>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</si>
  <si>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</si>
  <si>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</si>
  <si>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</si>
  <si>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</si>
  <si>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</si>
  <si>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</si>
  <si>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</si>
  <si>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</si>
  <si>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</si>
  <si>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</si>
  <si>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</si>
  <si>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</si>
  <si>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</si>
  <si>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</si>
  <si>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</si>
  <si>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</si>
  <si>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</si>
  <si>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</si>
  <si>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</si>
  <si>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</si>
  <si>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</si>
  <si>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</si>
  <si>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</si>
  <si>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</si>
  <si>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</si>
  <si>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</si>
  <si>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</si>
  <si>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</si>
  <si>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</si>
  <si>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</si>
  <si>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</si>
  <si>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</si>
  <si>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</si>
  <si>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</si>
  <si>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</si>
  <si>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</si>
  <si>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</si>
  <si>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</si>
  <si>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</si>
  <si>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</si>
  <si>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</si>
  <si>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</si>
  <si>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</si>
  <si>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</si>
  <si>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</si>
  <si>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</si>
  <si>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</si>
  <si>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</si>
  <si>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</si>
  <si>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</si>
  <si>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</si>
  <si>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</si>
  <si>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</si>
  <si>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</si>
  <si>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</si>
  <si>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</si>
  <si>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</si>
  <si>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</si>
  <si>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</si>
  <si>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</si>
  <si>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</si>
  <si>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</si>
  <si>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</si>
  <si>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</si>
  <si>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</si>
  <si>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</si>
  <si>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</si>
  <si>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</si>
  <si>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</si>
  <si>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</si>
  <si>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</si>
  <si>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</si>
  <si>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</si>
  <si>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</si>
  <si>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</si>
  <si>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</si>
  <si>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</si>
  <si>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</si>
  <si>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</si>
  <si>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</si>
  <si>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</si>
  <si>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</si>
  <si>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</si>
  <si>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</si>
  <si>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</si>
  <si>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</si>
  <si>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</si>
  <si>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</si>
  <si>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</si>
  <si>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</si>
  <si>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</si>
  <si>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</si>
  <si>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</si>
  <si>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</si>
  <si>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</si>
  <si>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</si>
  <si>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</si>
  <si>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</si>
  <si>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</si>
  <si>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</si>
  <si>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</si>
  <si>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</si>
  <si>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</si>
  <si>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</si>
  <si>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</si>
  <si>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</si>
  <si>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</si>
  <si>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</si>
  <si>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</si>
  <si>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</si>
  <si>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</si>
  <si>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</si>
  <si>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</si>
  <si>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</si>
  <si>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</si>
  <si>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</si>
  <si>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</si>
  <si>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</si>
  <si>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</si>
  <si>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</si>
  <si>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</si>
  <si>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</si>
  <si>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</si>
  <si>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</si>
  <si>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</si>
  <si>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</si>
  <si>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</si>
  <si>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</si>
  <si>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</si>
  <si>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</si>
  <si>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</si>
  <si>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</si>
  <si>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</si>
  <si>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</si>
  <si>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</si>
  <si>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</si>
  <si>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</si>
  <si>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</si>
  <si>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</si>
  <si>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</si>
  <si>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</si>
  <si>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</si>
  <si>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</si>
  <si>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</si>
  <si>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</si>
  <si>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</si>
  <si>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</si>
  <si>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</si>
  <si>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</si>
  <si>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</si>
  <si>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</si>
  <si>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</si>
  <si>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</si>
  <si>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</si>
  <si>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</si>
  <si>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</si>
  <si>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</si>
  <si>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</si>
  <si>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</si>
  <si>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</si>
  <si>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</si>
  <si>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</si>
  <si>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</si>
  <si>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</si>
  <si>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</si>
  <si>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</si>
  <si>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</si>
  <si>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</si>
  <si>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</si>
  <si>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</si>
  <si>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</si>
  <si>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</si>
  <si>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</si>
  <si>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</si>
  <si>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</si>
  <si>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</si>
  <si>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</si>
  <si>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</si>
  <si>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</si>
  <si>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</si>
  <si>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</si>
  <si>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</si>
  <si>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</si>
  <si>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</si>
  <si>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</si>
  <si>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</si>
  <si>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</si>
  <si>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</si>
  <si>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</si>
  <si>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</si>
  <si>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</si>
  <si>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</si>
  <si>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</si>
  <si>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</si>
  <si>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</si>
  <si>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</si>
  <si>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</si>
  <si>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</si>
  <si>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</si>
  <si>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</si>
  <si>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</si>
  <si>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</si>
  <si>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</si>
  <si>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</si>
  <si>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</si>
  <si>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</si>
  <si>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</si>
  <si>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</si>
  <si>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</si>
  <si>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</si>
  <si>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</si>
  <si>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</si>
  <si>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</si>
  <si>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</si>
  <si>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</si>
  <si>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</si>
  <si>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</si>
  <si>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</si>
  <si>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</si>
  <si>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</si>
  <si>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</si>
  <si>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</si>
  <si>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</si>
  <si>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</si>
  <si>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</si>
  <si>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</si>
  <si>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</si>
  <si>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</si>
  <si>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</si>
  <si>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</si>
  <si>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</si>
  <si>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</si>
  <si>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</si>
  <si>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</si>
  <si>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</si>
  <si>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</si>
  <si>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</si>
  <si>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</si>
  <si>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</si>
  <si>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</si>
  <si>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</si>
  <si>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</si>
  <si>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</si>
  <si>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</si>
  <si>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</si>
  <si>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</si>
  <si>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</si>
  <si>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</si>
  <si>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</si>
  <si>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</si>
  <si>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</si>
  <si>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</si>
  <si>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</si>
  <si>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</si>
  <si>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</si>
  <si>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</si>
  <si>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</si>
  <si>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</si>
  <si>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</si>
  <si>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</si>
  <si>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</si>
  <si>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</si>
  <si>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</si>
  <si>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</si>
  <si>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</si>
  <si>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</si>
  <si>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</si>
  <si>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</si>
  <si>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</si>
  <si>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</si>
  <si>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</si>
  <si>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</si>
  <si>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</si>
  <si>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</si>
  <si>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</si>
  <si>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</si>
  <si>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</si>
  <si>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</si>
  <si>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</si>
  <si>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</si>
  <si>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</si>
  <si>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</si>
  <si>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</si>
  <si>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</si>
  <si>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</si>
  <si>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</si>
  <si>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</si>
  <si>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</si>
  <si>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</si>
  <si>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</si>
  <si>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</si>
  <si>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</si>
  <si>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</si>
  <si>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</si>
  <si>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</si>
  <si>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</si>
  <si>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</si>
  <si>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</si>
  <si>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</si>
  <si>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</si>
  <si>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</si>
  <si>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</si>
  <si>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</si>
  <si>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</si>
  <si>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</si>
  <si>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</si>
  <si>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</si>
  <si>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</si>
  <si>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</si>
  <si>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</si>
  <si>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</si>
  <si>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</si>
  <si>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</si>
  <si>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</si>
  <si>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</si>
  <si>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</si>
  <si>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</si>
  <si>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</si>
  <si>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</si>
  <si>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</si>
  <si>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</si>
  <si>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</si>
  <si>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</si>
  <si>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</si>
  <si>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</si>
  <si>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</si>
  <si>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</si>
  <si>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</si>
  <si>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</si>
  <si>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</si>
  <si>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</si>
  <si>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</si>
  <si>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</si>
  <si>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</si>
  <si>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</si>
  <si>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</si>
  <si>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</si>
  <si>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</si>
  <si>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</si>
  <si>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</si>
  <si>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</si>
  <si>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</si>
  <si>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</si>
  <si>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</si>
  <si>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</si>
  <si>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</si>
  <si>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</si>
  <si>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</si>
  <si>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</si>
  <si>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</si>
  <si>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</si>
  <si>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</si>
  <si>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</si>
  <si>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</si>
  <si>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</si>
  <si>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</si>
  <si>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</si>
  <si>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</si>
  <si>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</si>
  <si>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</si>
  <si>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</si>
  <si>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</si>
  <si>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</si>
  <si>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</si>
  <si>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</si>
  <si>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</si>
  <si>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</si>
  <si>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</si>
  <si>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</si>
  <si>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</si>
  <si>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</si>
  <si>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</si>
  <si>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</si>
  <si>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</si>
  <si>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</si>
  <si>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</si>
  <si>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</si>
  <si>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</si>
  <si>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</si>
  <si>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</si>
  <si>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</si>
  <si>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</si>
  <si>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</si>
  <si>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</si>
  <si>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</si>
  <si>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</si>
  <si>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</si>
  <si>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</si>
  <si>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</si>
  <si>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</si>
  <si>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</si>
  <si>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</si>
  <si>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</si>
  <si>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</si>
  <si>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</si>
  <si>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</si>
  <si>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</si>
  <si>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</si>
  <si>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</si>
  <si>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</si>
  <si>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</si>
  <si>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</si>
  <si>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</si>
  <si>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</si>
  <si>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</si>
  <si>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</si>
  <si>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</si>
  <si>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</si>
  <si>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</si>
  <si>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</si>
  <si>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</si>
  <si>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</si>
  <si>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</si>
  <si>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</si>
  <si>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</si>
  <si>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</si>
  <si>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</si>
  <si>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</si>
  <si>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</si>
  <si>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</si>
  <si>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</si>
  <si>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</si>
  <si>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</si>
  <si>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</si>
  <si>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</si>
  <si>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</si>
  <si>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</si>
  <si>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</si>
  <si>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</si>
  <si>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</si>
  <si>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</si>
  <si>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</si>
  <si>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</si>
  <si>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</si>
  <si>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</si>
  <si>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</si>
  <si>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</si>
  <si>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</si>
  <si>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</si>
  <si>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</si>
  <si>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</si>
  <si>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</si>
  <si>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</si>
  <si>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</si>
  <si>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</si>
  <si>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</si>
  <si>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</si>
  <si>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</si>
  <si>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</si>
  <si>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</si>
  <si>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</si>
  <si>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</si>
  <si>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</si>
  <si>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</si>
  <si>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</si>
  <si>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</si>
  <si>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</si>
  <si>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</si>
  <si>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</si>
  <si>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</si>
  <si>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</si>
  <si>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</si>
  <si>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</si>
  <si>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</si>
  <si>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</si>
  <si>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</si>
  <si>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</si>
  <si>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</si>
  <si>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</si>
  <si>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</si>
  <si>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</si>
  <si>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</si>
  <si>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</si>
  <si>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</si>
  <si>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</si>
  <si>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</si>
  <si>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</si>
  <si>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</si>
  <si>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</si>
  <si>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</si>
  <si>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</si>
  <si>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</si>
  <si>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</si>
  <si>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</si>
  <si>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</si>
  <si>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</si>
  <si>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</si>
  <si>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</si>
  <si>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</si>
  <si>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</si>
  <si>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</si>
  <si>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</si>
  <si>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</si>
  <si>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</si>
  <si>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</si>
  <si>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</si>
  <si>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</si>
  <si>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</si>
  <si>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</si>
  <si>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</si>
  <si>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</si>
  <si>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</si>
  <si>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</si>
  <si>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</si>
  <si>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24055</t>
  </si>
  <si>
    <t>KORTENBERG</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</si>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</sst>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C456FC57-2439-42BA-B0D0-0C5A0F3D301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24055</v>
      </c>
      <c r="B6" s="384"/>
      <c r="C6" s="385"/>
    </row>
    <row r="7" spans="1:7" s="382" customFormat="1" ht="15.75" customHeight="1">
      <c r="A7" s="386" t="str">
        <f>txtMunicipality</f>
        <v>KORTENBERG</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0.21086374740079347</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0.21086374740079347</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7922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1450</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255</v>
      </c>
      <c r="C17" s="327"/>
      <c r="D17" s="327"/>
      <c r="E17" s="327"/>
      <c r="F17" s="327"/>
    </row>
    <row r="18" spans="1:6">
      <c r="A18" s="1258" t="s">
        <v>8</v>
      </c>
      <c r="B18" s="1259">
        <v>295</v>
      </c>
      <c r="C18" s="327"/>
      <c r="D18" s="327"/>
      <c r="E18" s="327"/>
      <c r="F18" s="327"/>
    </row>
    <row r="19" spans="1:6">
      <c r="A19" s="1258" t="s">
        <v>9</v>
      </c>
      <c r="B19" s="1259">
        <v>238</v>
      </c>
      <c r="C19" s="327"/>
      <c r="D19" s="327"/>
      <c r="E19" s="327"/>
      <c r="F19" s="327"/>
    </row>
    <row r="20" spans="1:6">
      <c r="A20" s="1258" t="s">
        <v>10</v>
      </c>
      <c r="B20" s="1259">
        <v>98</v>
      </c>
      <c r="C20" s="327"/>
      <c r="D20" s="327"/>
      <c r="E20" s="327"/>
      <c r="F20" s="327"/>
    </row>
    <row r="21" spans="1:6">
      <c r="A21" s="1258" t="s">
        <v>11</v>
      </c>
      <c r="B21" s="1259">
        <v>3</v>
      </c>
      <c r="C21" s="327"/>
      <c r="D21" s="327"/>
      <c r="E21" s="327"/>
      <c r="F21" s="327"/>
    </row>
    <row r="22" spans="1:6">
      <c r="A22" s="1258" t="s">
        <v>12</v>
      </c>
      <c r="B22" s="1259">
        <v>3</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99</v>
      </c>
      <c r="C26" s="327"/>
      <c r="D26" s="327"/>
      <c r="E26" s="327"/>
      <c r="F26" s="327"/>
    </row>
    <row r="27" spans="1:6">
      <c r="A27" s="1258" t="s">
        <v>17</v>
      </c>
      <c r="B27" s="1259">
        <v>5</v>
      </c>
      <c r="C27" s="327"/>
      <c r="D27" s="327"/>
      <c r="E27" s="327"/>
      <c r="F27" s="327"/>
    </row>
    <row r="28" spans="1:6">
      <c r="A28" s="1258" t="s">
        <v>18</v>
      </c>
      <c r="B28" s="1260">
        <v>26</v>
      </c>
      <c r="C28" s="327"/>
      <c r="D28" s="327"/>
      <c r="E28" s="327"/>
      <c r="F28" s="327"/>
    </row>
    <row r="29" spans="1:6">
      <c r="A29" s="1258" t="s">
        <v>939</v>
      </c>
      <c r="B29" s="1260">
        <v>136</v>
      </c>
      <c r="C29" s="327"/>
      <c r="D29" s="327"/>
      <c r="E29" s="327"/>
      <c r="F29" s="327"/>
    </row>
    <row r="30" spans="1:6">
      <c r="A30" s="1253" t="s">
        <v>940</v>
      </c>
      <c r="B30" s="1261">
        <v>25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8459.8323640847993</v>
      </c>
    </row>
    <row r="39" spans="1:6">
      <c r="A39" s="1258" t="s">
        <v>29</v>
      </c>
      <c r="B39" s="1258" t="s">
        <v>30</v>
      </c>
      <c r="C39" s="1259">
        <v>5278</v>
      </c>
      <c r="D39" s="1259">
        <v>104496690.385814</v>
      </c>
      <c r="E39" s="1259">
        <v>7875</v>
      </c>
      <c r="F39" s="1259">
        <v>33309498.280586999</v>
      </c>
    </row>
    <row r="40" spans="1:6">
      <c r="A40" s="1258" t="s">
        <v>29</v>
      </c>
      <c r="B40" s="1258" t="s">
        <v>28</v>
      </c>
      <c r="C40" s="1259">
        <v>0</v>
      </c>
      <c r="D40" s="1259">
        <v>0</v>
      </c>
      <c r="E40" s="1259">
        <v>0</v>
      </c>
      <c r="F40" s="1259">
        <v>0</v>
      </c>
    </row>
    <row r="41" spans="1:6">
      <c r="A41" s="1258" t="s">
        <v>31</v>
      </c>
      <c r="B41" s="1258" t="s">
        <v>32</v>
      </c>
      <c r="C41" s="1259">
        <v>22</v>
      </c>
      <c r="D41" s="1259">
        <v>653240.50750455703</v>
      </c>
      <c r="E41" s="1259">
        <v>76</v>
      </c>
      <c r="F41" s="1259">
        <v>604333.088096097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3</v>
      </c>
      <c r="D45" s="1259">
        <v>140604.823010967</v>
      </c>
      <c r="E45" s="1259">
        <v>3</v>
      </c>
      <c r="F45" s="1259">
        <v>29493.376141353499</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42255.940826712402</v>
      </c>
    </row>
    <row r="48" spans="1:6">
      <c r="A48" s="1258" t="s">
        <v>31</v>
      </c>
      <c r="B48" s="1258" t="s">
        <v>28</v>
      </c>
      <c r="C48" s="1259">
        <v>29</v>
      </c>
      <c r="D48" s="1259">
        <v>1308373.408815</v>
      </c>
      <c r="E48" s="1259">
        <v>59</v>
      </c>
      <c r="F48" s="1259">
        <v>1278858.0488278</v>
      </c>
    </row>
    <row r="49" spans="1:6">
      <c r="A49" s="1258" t="s">
        <v>31</v>
      </c>
      <c r="B49" s="1258" t="s">
        <v>39</v>
      </c>
      <c r="C49" s="1259">
        <v>0</v>
      </c>
      <c r="D49" s="1259">
        <v>0</v>
      </c>
      <c r="E49" s="1259">
        <v>0</v>
      </c>
      <c r="F49" s="1259">
        <v>0</v>
      </c>
    </row>
    <row r="50" spans="1:6">
      <c r="A50" s="1258" t="s">
        <v>31</v>
      </c>
      <c r="B50" s="1258" t="s">
        <v>40</v>
      </c>
      <c r="C50" s="1259">
        <v>3</v>
      </c>
      <c r="D50" s="1259">
        <v>75979.506135127696</v>
      </c>
      <c r="E50" s="1259">
        <v>4</v>
      </c>
      <c r="F50" s="1259">
        <v>203355.51774237701</v>
      </c>
    </row>
    <row r="51" spans="1:6">
      <c r="A51" s="1258" t="s">
        <v>41</v>
      </c>
      <c r="B51" s="1258" t="s">
        <v>42</v>
      </c>
      <c r="C51" s="1259">
        <v>0</v>
      </c>
      <c r="D51" s="1259">
        <v>0</v>
      </c>
      <c r="E51" s="1259">
        <v>19</v>
      </c>
      <c r="F51" s="1259">
        <v>141502.96502261801</v>
      </c>
    </row>
    <row r="52" spans="1:6">
      <c r="A52" s="1258" t="s">
        <v>41</v>
      </c>
      <c r="B52" s="1258" t="s">
        <v>28</v>
      </c>
      <c r="C52" s="1259">
        <v>10</v>
      </c>
      <c r="D52" s="1259">
        <v>295425.78073253302</v>
      </c>
      <c r="E52" s="1259">
        <v>12</v>
      </c>
      <c r="F52" s="1259">
        <v>81465.077507752198</v>
      </c>
    </row>
    <row r="53" spans="1:6">
      <c r="A53" s="1258" t="s">
        <v>43</v>
      </c>
      <c r="B53" s="1258" t="s">
        <v>44</v>
      </c>
      <c r="C53" s="1259">
        <v>111</v>
      </c>
      <c r="D53" s="1259">
        <v>4511657.5179969398</v>
      </c>
      <c r="E53" s="1259">
        <v>192</v>
      </c>
      <c r="F53" s="1259">
        <v>1144290.1884937999</v>
      </c>
    </row>
    <row r="54" spans="1:6">
      <c r="A54" s="1258" t="s">
        <v>45</v>
      </c>
      <c r="B54" s="1258" t="s">
        <v>46</v>
      </c>
      <c r="C54" s="1259">
        <v>0</v>
      </c>
      <c r="D54" s="1259">
        <v>0</v>
      </c>
      <c r="E54" s="1259">
        <v>1</v>
      </c>
      <c r="F54" s="1259">
        <v>1358602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20</v>
      </c>
      <c r="D57" s="1259">
        <v>589502.438166318</v>
      </c>
      <c r="E57" s="1259">
        <v>39</v>
      </c>
      <c r="F57" s="1259">
        <v>471205.42042098899</v>
      </c>
    </row>
    <row r="58" spans="1:6">
      <c r="A58" s="1258" t="s">
        <v>48</v>
      </c>
      <c r="B58" s="1258" t="s">
        <v>50</v>
      </c>
      <c r="C58" s="1259">
        <v>12</v>
      </c>
      <c r="D58" s="1259">
        <v>555357.36324679398</v>
      </c>
      <c r="E58" s="1259">
        <v>16</v>
      </c>
      <c r="F58" s="1259">
        <v>159740.036785801</v>
      </c>
    </row>
    <row r="59" spans="1:6">
      <c r="A59" s="1258" t="s">
        <v>48</v>
      </c>
      <c r="B59" s="1258" t="s">
        <v>51</v>
      </c>
      <c r="C59" s="1259">
        <v>47</v>
      </c>
      <c r="D59" s="1259">
        <v>10271421.8217334</v>
      </c>
      <c r="E59" s="1259">
        <v>71</v>
      </c>
      <c r="F59" s="1259">
        <v>5675691.3922425602</v>
      </c>
    </row>
    <row r="60" spans="1:6">
      <c r="A60" s="1258" t="s">
        <v>48</v>
      </c>
      <c r="B60" s="1258" t="s">
        <v>52</v>
      </c>
      <c r="C60" s="1259">
        <v>33</v>
      </c>
      <c r="D60" s="1259">
        <v>1349847.01020958</v>
      </c>
      <c r="E60" s="1259">
        <v>41</v>
      </c>
      <c r="F60" s="1259">
        <v>943187.02664080798</v>
      </c>
    </row>
    <row r="61" spans="1:6">
      <c r="A61" s="1258" t="s">
        <v>48</v>
      </c>
      <c r="B61" s="1258" t="s">
        <v>53</v>
      </c>
      <c r="C61" s="1259">
        <v>120</v>
      </c>
      <c r="D61" s="1259">
        <v>16816436.7157811</v>
      </c>
      <c r="E61" s="1259">
        <v>333</v>
      </c>
      <c r="F61" s="1259">
        <v>8439864.6201787591</v>
      </c>
    </row>
    <row r="62" spans="1:6">
      <c r="A62" s="1258" t="s">
        <v>48</v>
      </c>
      <c r="B62" s="1258" t="s">
        <v>54</v>
      </c>
      <c r="C62" s="1259">
        <v>0</v>
      </c>
      <c r="D62" s="1259">
        <v>0</v>
      </c>
      <c r="E62" s="1259">
        <v>0</v>
      </c>
      <c r="F62" s="1259">
        <v>0</v>
      </c>
    </row>
    <row r="63" spans="1:6">
      <c r="A63" s="1258" t="s">
        <v>48</v>
      </c>
      <c r="B63" s="1258" t="s">
        <v>28</v>
      </c>
      <c r="C63" s="1259">
        <v>177</v>
      </c>
      <c r="D63" s="1259">
        <v>19679080.880967598</v>
      </c>
      <c r="E63" s="1259">
        <v>229</v>
      </c>
      <c r="F63" s="1259">
        <v>8807962.5001180694</v>
      </c>
    </row>
    <row r="64" spans="1:6">
      <c r="A64" s="1258" t="s">
        <v>55</v>
      </c>
      <c r="B64" s="1258" t="s">
        <v>56</v>
      </c>
      <c r="C64" s="1259">
        <v>0</v>
      </c>
      <c r="D64" s="1259">
        <v>0</v>
      </c>
      <c r="E64" s="1259">
        <v>0</v>
      </c>
      <c r="F64" s="1259">
        <v>0</v>
      </c>
    </row>
    <row r="65" spans="1:6">
      <c r="A65" s="1258" t="s">
        <v>55</v>
      </c>
      <c r="B65" s="1258" t="s">
        <v>28</v>
      </c>
      <c r="C65" s="1259">
        <v>4</v>
      </c>
      <c r="D65" s="1259">
        <v>353109.25259844598</v>
      </c>
      <c r="E65" s="1259">
        <v>10</v>
      </c>
      <c r="F65" s="1259">
        <v>362300.46769097698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22141107</v>
      </c>
      <c r="E73" s="445"/>
      <c r="F73" s="327"/>
    </row>
    <row r="74" spans="1:6">
      <c r="A74" s="1258" t="s">
        <v>63</v>
      </c>
      <c r="B74" s="1258" t="s">
        <v>724</v>
      </c>
      <c r="C74" s="1271" t="s">
        <v>718</v>
      </c>
      <c r="D74" s="1259">
        <v>454975</v>
      </c>
      <c r="E74" s="445"/>
      <c r="F74" s="327"/>
    </row>
    <row r="75" spans="1:6">
      <c r="A75" s="1258" t="s">
        <v>64</v>
      </c>
      <c r="B75" s="1258" t="s">
        <v>723</v>
      </c>
      <c r="C75" s="1271" t="s">
        <v>719</v>
      </c>
      <c r="D75" s="1259">
        <v>41103360</v>
      </c>
      <c r="E75" s="445"/>
      <c r="F75" s="327"/>
    </row>
    <row r="76" spans="1:6">
      <c r="A76" s="1258" t="s">
        <v>64</v>
      </c>
      <c r="B76" s="1258" t="s">
        <v>724</v>
      </c>
      <c r="C76" s="1271" t="s">
        <v>720</v>
      </c>
      <c r="D76" s="1259">
        <v>569262.48469349556</v>
      </c>
      <c r="E76" s="445"/>
      <c r="F76" s="327"/>
    </row>
    <row r="77" spans="1:6">
      <c r="A77" s="1258" t="s">
        <v>65</v>
      </c>
      <c r="B77" s="1258" t="s">
        <v>723</v>
      </c>
      <c r="C77" s="1271" t="s">
        <v>721</v>
      </c>
      <c r="D77" s="1259">
        <v>175087392</v>
      </c>
      <c r="E77" s="445"/>
      <c r="F77" s="327"/>
    </row>
    <row r="78" spans="1:6">
      <c r="A78" s="1253" t="s">
        <v>65</v>
      </c>
      <c r="B78" s="1253" t="s">
        <v>724</v>
      </c>
      <c r="C78" s="1253" t="s">
        <v>722</v>
      </c>
      <c r="D78" s="1261">
        <v>16051420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1172049.0306130089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2639.354000241538</v>
      </c>
      <c r="C91" s="327"/>
      <c r="D91" s="327"/>
      <c r="E91" s="327"/>
      <c r="F91" s="327"/>
    </row>
    <row r="92" spans="1:6">
      <c r="A92" s="1253" t="s">
        <v>68</v>
      </c>
      <c r="B92" s="1254">
        <v>645.35037268959707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3438</v>
      </c>
      <c r="C97" s="327"/>
      <c r="D97" s="327"/>
      <c r="E97" s="327"/>
      <c r="F97" s="327"/>
    </row>
    <row r="98" spans="1:6">
      <c r="A98" s="1258" t="s">
        <v>71</v>
      </c>
      <c r="B98" s="1259">
        <v>1</v>
      </c>
      <c r="C98" s="327"/>
      <c r="D98" s="327"/>
      <c r="E98" s="327"/>
      <c r="F98" s="327"/>
    </row>
    <row r="99" spans="1:6">
      <c r="A99" s="1258" t="s">
        <v>72</v>
      </c>
      <c r="B99" s="1259">
        <v>75</v>
      </c>
      <c r="C99" s="327"/>
      <c r="D99" s="327"/>
      <c r="E99" s="327"/>
      <c r="F99" s="327"/>
    </row>
    <row r="100" spans="1:6">
      <c r="A100" s="1258" t="s">
        <v>73</v>
      </c>
      <c r="B100" s="1259">
        <v>477</v>
      </c>
      <c r="C100" s="327"/>
      <c r="D100" s="327"/>
      <c r="E100" s="327"/>
      <c r="F100" s="327"/>
    </row>
    <row r="101" spans="1:6">
      <c r="A101" s="1258" t="s">
        <v>74</v>
      </c>
      <c r="B101" s="1259">
        <v>48</v>
      </c>
      <c r="C101" s="327"/>
      <c r="D101" s="327"/>
      <c r="E101" s="327"/>
      <c r="F101" s="327"/>
    </row>
    <row r="102" spans="1:6">
      <c r="A102" s="1258" t="s">
        <v>75</v>
      </c>
      <c r="B102" s="1259">
        <v>87</v>
      </c>
      <c r="C102" s="327"/>
      <c r="D102" s="327"/>
      <c r="E102" s="327"/>
      <c r="F102" s="327"/>
    </row>
    <row r="103" spans="1:6">
      <c r="A103" s="1258" t="s">
        <v>76</v>
      </c>
      <c r="B103" s="1259">
        <v>105</v>
      </c>
      <c r="C103" s="327"/>
      <c r="D103" s="327"/>
      <c r="E103" s="327"/>
      <c r="F103" s="327"/>
    </row>
    <row r="104" spans="1:6">
      <c r="A104" s="1258" t="s">
        <v>77</v>
      </c>
      <c r="B104" s="1259">
        <v>2454</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56</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67728.785511543567</v>
      </c>
      <c r="C3" s="44" t="s">
        <v>163</v>
      </c>
      <c r="D3" s="44"/>
      <c r="E3" s="157"/>
      <c r="F3" s="44"/>
      <c r="G3" s="44"/>
      <c r="H3" s="44"/>
      <c r="I3" s="44"/>
      <c r="J3" s="44"/>
      <c r="K3" s="97"/>
    </row>
    <row r="4" spans="1:11">
      <c r="A4" s="352" t="s">
        <v>164</v>
      </c>
      <c r="B4" s="50">
        <f>IF(ISERROR('SEAP template'!B78+'SEAP template'!C78),0,'SEAP template'!B78+'SEAP template'!C78)</f>
        <v>5651.7043729311354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562.51058823529411</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0.21086374740079347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803.5865546218489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3381.4285714285716</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1358.6020000000001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1358.6020000000001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0.21086374740079347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286.47990894621284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33309.498280587002</v>
      </c>
      <c r="C5" s="18">
        <f>IF(ISERROR('Eigen informatie GS &amp; warmtenet'!B57),0,'Eigen informatie GS &amp; warmtenet'!B57)</f>
        <v>0</v>
      </c>
      <c r="D5" s="31">
        <f>(SUM(HH_hh_gas_kWh,HH_rest_gas_kWh)/1000)*0.902</f>
        <v>94256.014728004229</v>
      </c>
      <c r="E5" s="18">
        <f>B32*B41</f>
        <v>1502.058300970014</v>
      </c>
      <c r="F5" s="18">
        <f>B36*B45</f>
        <v>45793.396676926583</v>
      </c>
      <c r="G5" s="19"/>
      <c r="H5" s="18"/>
      <c r="I5" s="18"/>
      <c r="J5" s="18">
        <f>B35*B44+C35*C44</f>
        <v>830.90522618453792</v>
      </c>
      <c r="K5" s="18"/>
      <c r="L5" s="18"/>
      <c r="M5" s="18"/>
      <c r="N5" s="18">
        <f>B34*B43+C34*C43</f>
        <v>11229.189589878129</v>
      </c>
      <c r="O5" s="18">
        <f>B52*B53*B54</f>
        <v>112.56000000000002</v>
      </c>
      <c r="P5" s="18">
        <f>B60*B61*B62/1000-B60*B61*B62/1000/B63</f>
        <v>381.33333333333337</v>
      </c>
    </row>
    <row r="6" spans="1:16">
      <c r="A6" s="17" t="s">
        <v>597</v>
      </c>
      <c r="B6" s="731">
        <f>kWh_PV_kleiner_dan_10kW</f>
        <v>2639.354000241538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35948.852280828542</v>
      </c>
      <c r="C8" s="22">
        <f>C5</f>
        <v>0</v>
      </c>
      <c r="D8" s="22">
        <f>D5</f>
        <v>94256.014728004229</v>
      </c>
      <c r="E8" s="22">
        <f>E5</f>
        <v>1502.058300970014</v>
      </c>
      <c r="F8" s="22">
        <f>F5</f>
        <v>45793.396676926583</v>
      </c>
      <c r="G8" s="22"/>
      <c r="H8" s="22"/>
      <c r="I8" s="22"/>
      <c r="J8" s="22">
        <f>J5</f>
        <v>830.90522618453792</v>
      </c>
      <c r="K8" s="22"/>
      <c r="L8" s="22">
        <f>L5</f>
        <v>0</v>
      </c>
      <c r="M8" s="22">
        <f>M5</f>
        <v>0</v>
      </c>
      <c r="N8" s="22">
        <f>N5</f>
        <v>11229.189589878129</v>
      </c>
      <c r="O8" s="22">
        <f>O5</f>
        <v>112.56000000000002</v>
      </c>
      <c r="P8" s="22">
        <f>P5</f>
        <v>381.33333333333337</v>
      </c>
    </row>
    <row r="9" spans="1:16">
      <c r="B9" s="20"/>
      <c r="C9" s="20"/>
      <c r="D9" s="258"/>
      <c r="E9" s="20"/>
      <c r="F9" s="20"/>
      <c r="G9" s="20"/>
      <c r="H9" s="20"/>
      <c r="I9" s="20"/>
      <c r="J9" s="20"/>
      <c r="K9" s="20"/>
      <c r="L9" s="20"/>
      <c r="M9" s="20"/>
      <c r="N9" s="20"/>
      <c r="O9" s="20"/>
      <c r="P9" s="20"/>
    </row>
    <row r="10" spans="1:16">
      <c r="A10" s="25" t="s">
        <v>207</v>
      </c>
      <c r="B10" s="26">
        <f ca="1">'EF ele_warmte'!B12</f>
        <v>0.21086374740079347</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7580.3097066930677</v>
      </c>
      <c r="C12" s="24">
        <f ca="1">C10*C8</f>
        <v>0</v>
      </c>
      <c r="D12" s="24">
        <f>D8*D10</f>
        <v>19039.714975056857</v>
      </c>
      <c r="E12" s="24">
        <f>E10*E8</f>
        <v>340.9672343201932</v>
      </c>
      <c r="F12" s="24">
        <f>F10*F8</f>
        <v>12226.836912739398</v>
      </c>
      <c r="G12" s="24"/>
      <c r="H12" s="24"/>
      <c r="I12" s="24"/>
      <c r="J12" s="24">
        <f>J10*J8</f>
        <v>294.14045006932639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7922</v>
      </c>
      <c r="C26" s="37"/>
      <c r="D26" s="228"/>
    </row>
    <row r="27" spans="1:5" s="16" customFormat="1">
      <c r="A27" s="230" t="s">
        <v>623</v>
      </c>
      <c r="B27" s="38">
        <f>SUM(HH_hh_gas_aantal,HH_rest_gas_aantal)</f>
        <v>5278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5014.1000000000004</v>
      </c>
      <c r="C31" s="35" t="s">
        <v>104</v>
      </c>
      <c r="D31" s="174"/>
    </row>
    <row r="32" spans="1:5">
      <c r="A32" s="171" t="s">
        <v>72</v>
      </c>
      <c r="B32" s="34">
        <f>IF((B21*($B$26-($B$27-0.05*$B$27)-$B$60))&lt;0,0,B21*($B$26-($B$27-0.05*$B$27)-$B$60))</f>
        <v>70.971097148392104</v>
      </c>
      <c r="C32" s="35" t="s">
        <v>104</v>
      </c>
      <c r="D32" s="174"/>
    </row>
    <row r="33" spans="1:6">
      <c r="A33" s="171" t="s">
        <v>73</v>
      </c>
      <c r="B33" s="34">
        <f>IF((B22*($B$26-($B$27-0.05*$B$27)-$B$60))&lt;0,0,B22*($B$26-($B$27-0.05*$B$27)-$B$60))</f>
        <v>477.71872151521103</v>
      </c>
      <c r="C33" s="35" t="s">
        <v>104</v>
      </c>
      <c r="D33" s="174"/>
    </row>
    <row r="34" spans="1:6">
      <c r="A34" s="171" t="s">
        <v>74</v>
      </c>
      <c r="B34" s="34">
        <f>IF((B24*($B$26-($B$27-0.05*$B$27)-$B$60))&lt;0,0,B24*($B$26-($B$27-0.05*$B$27)-$B$60))</f>
        <v>121.15953717451495</v>
      </c>
      <c r="C34" s="34">
        <f>B26*C24</f>
        <v>1620.0674397943903</v>
      </c>
      <c r="D34" s="233"/>
    </row>
    <row r="35" spans="1:6">
      <c r="A35" s="171" t="s">
        <v>76</v>
      </c>
      <c r="B35" s="34">
        <f>IF((B19*($B$26-($B$27-0.05*$B$27)-$B$60))&lt;0,0,B19*($B$26-($B$27-0.05*$B$27)-$B$60))</f>
        <v>45.043281718974377</v>
      </c>
      <c r="C35" s="34">
        <f>B35/2</f>
        <v>22.521640859487189</v>
      </c>
      <c r="D35" s="233"/>
    </row>
    <row r="36" spans="1:6">
      <c r="A36" s="171" t="s">
        <v>77</v>
      </c>
      <c r="B36" s="34">
        <f>IF((B18*($B$26-($B$27-0.05*$B$27)-$B$60))&lt;0,0,B18*($B$26-($B$27-0.05*$B$27)-$B$60))</f>
        <v>2173.0073624429065</v>
      </c>
      <c r="C36" s="35" t="s">
        <v>104</v>
      </c>
      <c r="D36" s="174"/>
    </row>
    <row r="37" spans="1:6">
      <c r="A37" s="171" t="s">
        <v>78</v>
      </c>
      <c r="B37" s="34">
        <f>B60</f>
        <v>20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24497.650996386987</v>
      </c>
      <c r="C5" s="18">
        <f>IF(ISERROR('Eigen informatie GS &amp; warmtenet'!B58),0,'Eigen informatie GS &amp; warmtenet'!B58)</f>
        <v>0</v>
      </c>
      <c r="D5" s="31">
        <f>SUM(D6:D12)</f>
        <v>44434.004899554522</v>
      </c>
      <c r="E5" s="18">
        <f>SUM(E6:E12)</f>
        <v>172.18571709995996</v>
      </c>
      <c r="F5" s="18">
        <f>SUM(F6:F12)</f>
        <v>4179.1801612407153</v>
      </c>
      <c r="G5" s="19"/>
      <c r="H5" s="18"/>
      <c r="I5" s="18"/>
      <c r="J5" s="18">
        <f>SUM(J6:J12)</f>
        <v>0</v>
      </c>
      <c r="K5" s="18"/>
      <c r="L5" s="18"/>
      <c r="M5" s="18"/>
      <c r="N5" s="18">
        <f>SUM(N6:N12)</f>
        <v>820.8910690800501</v>
      </c>
      <c r="O5" s="18">
        <f>B38*B39*B40</f>
        <v>1.5633333333333335</v>
      </c>
      <c r="P5" s="18">
        <f>B46*B47*B48/1000-B46*B47*B48/1000/B49</f>
        <v>19.066666666666666</v>
      </c>
      <c r="R5" s="33"/>
    </row>
    <row r="6" spans="1:18">
      <c r="A6" s="33" t="s">
        <v>53</v>
      </c>
      <c r="B6" s="38">
        <f>B26</f>
        <v>8439.8646201787597</v>
      </c>
      <c r="C6" s="34"/>
      <c r="D6" s="38">
        <f>IF(ISERROR(TER_kantoor_gas_kWh/1000),0,TER_kantoor_gas_kWh/1000)*0.902</f>
        <v>15168.425917634551</v>
      </c>
      <c r="E6" s="34">
        <f>$C$26*'E Balans VL '!I12/100/3.6*1000000</f>
        <v>13.786772653468997</v>
      </c>
      <c r="F6" s="34">
        <f>$C$26*('E Balans VL '!L12+'E Balans VL '!N12)/100/3.6*1000000</f>
        <v>991.53242498437191</v>
      </c>
      <c r="G6" s="35"/>
      <c r="H6" s="34"/>
      <c r="I6" s="34"/>
      <c r="J6" s="34">
        <f>$C$26*('E Balans VL '!D12+'E Balans VL '!E12)/100/3.6*1000000</f>
        <v>0</v>
      </c>
      <c r="K6" s="34"/>
      <c r="L6" s="34"/>
      <c r="M6" s="34"/>
      <c r="N6" s="34">
        <f>$C$26*'E Balans VL '!Y12/100/3.6*1000000</f>
        <v>61.453009098449499</v>
      </c>
      <c r="O6" s="34"/>
      <c r="P6" s="34"/>
      <c r="R6" s="33"/>
    </row>
    <row r="7" spans="1:18">
      <c r="A7" s="33" t="s">
        <v>52</v>
      </c>
      <c r="B7" s="38">
        <f t="shared" ref="B7:B12" si="0">B27</f>
        <v>943.18702664080797</v>
      </c>
      <c r="C7" s="34"/>
      <c r="D7" s="38">
        <f>IF(ISERROR(TER_horeca_gas_kWh/1000),0,TER_horeca_gas_kWh/1000)*0.902</f>
        <v>1217.5620032090412</v>
      </c>
      <c r="E7" s="34">
        <f>$C$27*'E Balans VL '!I9/100/3.6*1000000</f>
        <v>48.797616667271235</v>
      </c>
      <c r="F7" s="34">
        <f>$C$27*('E Balans VL '!L9+'E Balans VL '!N9)/100/3.6*1000000</f>
        <v>214.58967890833895</v>
      </c>
      <c r="G7" s="35"/>
      <c r="H7" s="34"/>
      <c r="I7" s="34"/>
      <c r="J7" s="34">
        <f>$C$27*('E Balans VL '!D9+'E Balans VL '!E9)/100/3.6*1000000</f>
        <v>0</v>
      </c>
      <c r="K7" s="34"/>
      <c r="L7" s="34"/>
      <c r="M7" s="34"/>
      <c r="N7" s="34">
        <f>$C$27*'E Balans VL '!Y9/100/3.6*1000000</f>
        <v>9.9301108755205494E-2</v>
      </c>
      <c r="O7" s="34"/>
      <c r="P7" s="34"/>
      <c r="R7" s="33"/>
    </row>
    <row r="8" spans="1:18">
      <c r="A8" s="6" t="s">
        <v>51</v>
      </c>
      <c r="B8" s="38">
        <f t="shared" si="0"/>
        <v>5675.6913922425601</v>
      </c>
      <c r="C8" s="34"/>
      <c r="D8" s="38">
        <f>IF(ISERROR(TER_handel_gas_kWh/1000),0,TER_handel_gas_kWh/1000)*0.902</f>
        <v>9264.8224832035266</v>
      </c>
      <c r="E8" s="34">
        <f>$C$28*'E Balans VL '!I13/100/3.6*1000000</f>
        <v>29.812965313823494</v>
      </c>
      <c r="F8" s="34">
        <f>$C$28*('E Balans VL '!L13+'E Balans VL '!N13)/100/3.6*1000000</f>
        <v>1070.0579085130148</v>
      </c>
      <c r="G8" s="35"/>
      <c r="H8" s="34"/>
      <c r="I8" s="34"/>
      <c r="J8" s="34">
        <f>$C$28*('E Balans VL '!D13+'E Balans VL '!E13)/100/3.6*1000000</f>
        <v>0</v>
      </c>
      <c r="K8" s="34"/>
      <c r="L8" s="34"/>
      <c r="M8" s="34"/>
      <c r="N8" s="34">
        <f>$C$28*'E Balans VL '!Y13/100/3.6*1000000</f>
        <v>28.13749027087319</v>
      </c>
      <c r="O8" s="34"/>
      <c r="P8" s="34"/>
      <c r="R8" s="33"/>
    </row>
    <row r="9" spans="1:18">
      <c r="A9" s="33" t="s">
        <v>50</v>
      </c>
      <c r="B9" s="38">
        <f t="shared" si="0"/>
        <v>159.74003678580101</v>
      </c>
      <c r="C9" s="34"/>
      <c r="D9" s="38">
        <f>IF(ISERROR(TER_gezond_gas_kWh/1000),0,TER_gezond_gas_kWh/1000)*0.902</f>
        <v>500.93234164860814</v>
      </c>
      <c r="E9" s="34">
        <f>$C$29*'E Balans VL '!I10/100/3.6*1000000</f>
        <v>0.14180817795213685</v>
      </c>
      <c r="F9" s="34">
        <f>$C$29*('E Balans VL '!L10+'E Balans VL '!N10)/100/3.6*1000000</f>
        <v>49.649632363463589</v>
      </c>
      <c r="G9" s="35"/>
      <c r="H9" s="34"/>
      <c r="I9" s="34"/>
      <c r="J9" s="34">
        <f>$C$29*('E Balans VL '!D10+'E Balans VL '!E10)/100/3.6*1000000</f>
        <v>0</v>
      </c>
      <c r="K9" s="34"/>
      <c r="L9" s="34"/>
      <c r="M9" s="34"/>
      <c r="N9" s="34">
        <f>$C$29*'E Balans VL '!Y10/100/3.6*1000000</f>
        <v>1.2330320511075181</v>
      </c>
      <c r="O9" s="34"/>
      <c r="P9" s="34"/>
      <c r="R9" s="33"/>
    </row>
    <row r="10" spans="1:18">
      <c r="A10" s="33" t="s">
        <v>49</v>
      </c>
      <c r="B10" s="38">
        <f t="shared" si="0"/>
        <v>471.20542042098901</v>
      </c>
      <c r="C10" s="34"/>
      <c r="D10" s="38">
        <f>IF(ISERROR(TER_ander_gas_kWh/1000),0,TER_ander_gas_kWh/1000)*0.902</f>
        <v>531.73119922601893</v>
      </c>
      <c r="E10" s="34">
        <f>$C$30*'E Balans VL '!I14/100/3.6*1000000</f>
        <v>3.8433563332309801</v>
      </c>
      <c r="F10" s="34">
        <f>$C$30*('E Balans VL '!L14+'E Balans VL '!N14)/100/3.6*1000000</f>
        <v>137.34763159268581</v>
      </c>
      <c r="G10" s="35"/>
      <c r="H10" s="34"/>
      <c r="I10" s="34"/>
      <c r="J10" s="34">
        <f>$C$30*('E Balans VL '!D14+'E Balans VL '!E14)/100/3.6*1000000</f>
        <v>0</v>
      </c>
      <c r="K10" s="34"/>
      <c r="L10" s="34"/>
      <c r="M10" s="34"/>
      <c r="N10" s="34">
        <f>$C$30*'E Balans VL '!Y14/100/3.6*1000000</f>
        <v>223.80157004726271</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8807.9625001180702</v>
      </c>
      <c r="C12" s="34"/>
      <c r="D12" s="38">
        <f>IF(ISERROR(TER_rest_gas_kWh/1000),0,TER_rest_gas_kWh/1000)*0.902</f>
        <v>17750.530954632774</v>
      </c>
      <c r="E12" s="34">
        <f>$C$32*'E Balans VL '!I8/100/3.6*1000000</f>
        <v>75.80319795421309</v>
      </c>
      <c r="F12" s="34">
        <f>$C$32*('E Balans VL '!L8+'E Balans VL '!N8)/100/3.6*1000000</f>
        <v>1716.00288487884</v>
      </c>
      <c r="G12" s="35"/>
      <c r="H12" s="34"/>
      <c r="I12" s="34"/>
      <c r="J12" s="34">
        <f>$C$32*('E Balans VL '!D8+'E Balans VL '!E8)/100/3.6*1000000</f>
        <v>0</v>
      </c>
      <c r="K12" s="34"/>
      <c r="L12" s="34"/>
      <c r="M12" s="34"/>
      <c r="N12" s="34">
        <f>$C$32*'E Balans VL '!Y8/100/3.6*1000000</f>
        <v>506.16666650360196</v>
      </c>
      <c r="O12" s="34"/>
      <c r="P12" s="34"/>
      <c r="R12" s="33"/>
    </row>
    <row r="13" spans="1:18">
      <c r="A13" s="17" t="s">
        <v>488</v>
      </c>
      <c r="B13" s="246">
        <f ca="1">'lokale energieproductie'!N38+'lokale energieproductie'!N31</f>
        <v>2367</v>
      </c>
      <c r="C13" s="246">
        <f ca="1">'lokale energieproductie'!O38+'lokale energieproductie'!O31</f>
        <v>3381.4285714285716</v>
      </c>
      <c r="D13" s="305">
        <f ca="1">('lokale energieproductie'!P31+'lokale energieproductie'!P38)*(-1)</f>
        <v>-6762.8571428571431</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26864.650996386987</v>
      </c>
      <c r="C16" s="22">
        <f t="shared" ca="1" si="1"/>
        <v>3381.4285714285716</v>
      </c>
      <c r="D16" s="22">
        <f t="shared" ca="1" si="1"/>
        <v>37671.147756697377</v>
      </c>
      <c r="E16" s="22">
        <f t="shared" si="1"/>
        <v>172.18571709995996</v>
      </c>
      <c r="F16" s="22">
        <f t="shared" ca="1" si="1"/>
        <v>4179.1801612407153</v>
      </c>
      <c r="G16" s="22">
        <f t="shared" si="1"/>
        <v>0</v>
      </c>
      <c r="H16" s="22">
        <f t="shared" si="1"/>
        <v>0</v>
      </c>
      <c r="I16" s="22">
        <f t="shared" si="1"/>
        <v>0</v>
      </c>
      <c r="J16" s="22">
        <f t="shared" si="1"/>
        <v>0</v>
      </c>
      <c r="K16" s="22">
        <f t="shared" si="1"/>
        <v>0</v>
      </c>
      <c r="L16" s="22">
        <f t="shared" ca="1" si="1"/>
        <v>0</v>
      </c>
      <c r="M16" s="22">
        <f t="shared" si="1"/>
        <v>0</v>
      </c>
      <c r="N16" s="22">
        <f t="shared" ca="1" si="1"/>
        <v>820.8910690800501</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0.21086374740079347</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5664.7809817126199</v>
      </c>
      <c r="C20" s="24">
        <f t="shared" ref="C20:P20" ca="1" si="2">C16*C18</f>
        <v>803.5865546218489</v>
      </c>
      <c r="D20" s="24">
        <f t="shared" ca="1" si="2"/>
        <v>7609.5718468528703</v>
      </c>
      <c r="E20" s="24">
        <f t="shared" si="2"/>
        <v>39.086157781690915</v>
      </c>
      <c r="F20" s="24">
        <f t="shared" ca="1" si="2"/>
        <v>1115.8411030512711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8439.8646201787597</v>
      </c>
      <c r="C26" s="40">
        <f>IF(ISERROR(B26*3.6/1000000/'E Balans VL '!Z12*100),0,B26*3.6/1000000/'E Balans VL '!Z12*100)</f>
        <v>0.17888340623062893</v>
      </c>
      <c r="D26" s="236" t="s">
        <v>660</v>
      </c>
      <c r="F26" s="6"/>
    </row>
    <row r="27" spans="1:18">
      <c r="A27" s="231" t="s">
        <v>52</v>
      </c>
      <c r="B27" s="34">
        <f>IF(ISERROR(TER_horeca_ele_kWh/1000),0,TER_horeca_ele_kWh/1000)</f>
        <v>943.18702664080797</v>
      </c>
      <c r="C27" s="40">
        <f>IF(ISERROR(B27*3.6/1000000/'E Balans VL '!Z9*100),0,B27*3.6/1000000/'E Balans VL '!Z9*100)</f>
        <v>7.4013248761643849E-2</v>
      </c>
      <c r="D27" s="236" t="s">
        <v>660</v>
      </c>
      <c r="F27" s="6"/>
    </row>
    <row r="28" spans="1:18">
      <c r="A28" s="171" t="s">
        <v>51</v>
      </c>
      <c r="B28" s="34">
        <f>IF(ISERROR(TER_handel_ele_kWh/1000),0,TER_handel_ele_kWh/1000)</f>
        <v>5675.6913922425601</v>
      </c>
      <c r="C28" s="40">
        <f>IF(ISERROR(B28*3.6/1000000/'E Balans VL '!Z13*100),0,B28*3.6/1000000/'E Balans VL '!Z13*100)</f>
        <v>0.15850188287224279</v>
      </c>
      <c r="D28" s="236" t="s">
        <v>660</v>
      </c>
      <c r="F28" s="6"/>
    </row>
    <row r="29" spans="1:18">
      <c r="A29" s="231" t="s">
        <v>50</v>
      </c>
      <c r="B29" s="34">
        <f>IF(ISERROR(TER_gezond_ele_kWh/1000),0,TER_gezond_ele_kWh/1000)</f>
        <v>159.74003678580101</v>
      </c>
      <c r="C29" s="40">
        <f>IF(ISERROR(B29*3.6/1000000/'E Balans VL '!Z10*100),0,B29*3.6/1000000/'E Balans VL '!Z10*100)</f>
        <v>1.8306100797741653E-2</v>
      </c>
      <c r="D29" s="236" t="s">
        <v>660</v>
      </c>
      <c r="F29" s="6"/>
    </row>
    <row r="30" spans="1:18">
      <c r="A30" s="231" t="s">
        <v>49</v>
      </c>
      <c r="B30" s="34">
        <f>IF(ISERROR(TER_ander_ele_kWh/1000),0,TER_ander_ele_kWh/1000)</f>
        <v>471.20542042098901</v>
      </c>
      <c r="C30" s="40">
        <f>IF(ISERROR(B30*3.6/1000000/'E Balans VL '!Z14*100),0,B30*3.6/1000000/'E Balans VL '!Z14*100)</f>
        <v>3.5136394580965728E-2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8807.9625001180702</v>
      </c>
      <c r="C32" s="40">
        <f>IF(ISERROR(B32*3.6/1000000/'E Balans VL '!Z8*100),0,B32*3.6/1000000/'E Balans VL '!Z8*100)</f>
        <v>7.2572132873783196E-2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2158.2959716343398</v>
      </c>
      <c r="C5" s="18">
        <f>IF(ISERROR('Eigen informatie GS &amp; warmtenet'!B59),0,'Eigen informatie GS &amp; warmtenet'!B59)</f>
        <v>0</v>
      </c>
      <c r="D5" s="31">
        <f>SUM(D6:D15)</f>
        <v>1964.7348174100177</v>
      </c>
      <c r="E5" s="18">
        <f>SUM(E6:E15)</f>
        <v>19.171083677995817</v>
      </c>
      <c r="F5" s="18">
        <f>SUM(F6:F15)</f>
        <v>770.33527379144789</v>
      </c>
      <c r="G5" s="19"/>
      <c r="H5" s="18"/>
      <c r="I5" s="18"/>
      <c r="J5" s="18">
        <f>SUM(J6:J15)</f>
        <v>6.6838284022840462</v>
      </c>
      <c r="K5" s="18"/>
      <c r="L5" s="18"/>
      <c r="M5" s="18"/>
      <c r="N5" s="18">
        <f>SUM(N6:N15)</f>
        <v>103.60521986089391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604.33308809609696</v>
      </c>
      <c r="C9" s="34"/>
      <c r="D9" s="38">
        <f>IF( ISERROR(IND_andere_gas_kWh/1000),0,IND_andere_gas_kWh/1000)*0.902</f>
        <v>589.22293776911044</v>
      </c>
      <c r="E9" s="34">
        <f>C31*'E Balans VL '!I19/100/3.6*1000000</f>
        <v>3.4931355593056383</v>
      </c>
      <c r="F9" s="34">
        <f>C31*'E Balans VL '!L19/100/3.6*1000000+C31*'E Balans VL '!N19/100/3.6*1000000</f>
        <v>480.77605093793187</v>
      </c>
      <c r="G9" s="35"/>
      <c r="H9" s="34"/>
      <c r="I9" s="34"/>
      <c r="J9" s="41">
        <f>C31*'E Balans VL '!D19/100/3.6*1000000+C31*'E Balans VL '!E19/100/3.6*1000000</f>
        <v>5.7163197392078542E-2</v>
      </c>
      <c r="K9" s="34"/>
      <c r="L9" s="34"/>
      <c r="M9" s="34"/>
      <c r="N9" s="34">
        <f>C31*'E Balans VL '!Y19/100/3.6*1000000</f>
        <v>45.787376981583137</v>
      </c>
      <c r="O9" s="34"/>
      <c r="P9" s="34"/>
      <c r="R9" s="33"/>
    </row>
    <row r="10" spans="1:18">
      <c r="A10" s="6" t="s">
        <v>40</v>
      </c>
      <c r="B10" s="38">
        <f t="shared" si="0"/>
        <v>203.355517742377</v>
      </c>
      <c r="C10" s="34"/>
      <c r="D10" s="38">
        <f>IF( ISERROR(IND_voed_gas_kWh/1000),0,IND_voed_gas_kWh/1000)*0.902</f>
        <v>68.533514533885182</v>
      </c>
      <c r="E10" s="34">
        <f>C32*'E Balans VL '!I20/100/3.6*1000000</f>
        <v>1.999516748212661</v>
      </c>
      <c r="F10" s="34">
        <f>C32*'E Balans VL '!L20/100/3.6*1000000+C32*'E Balans VL '!N20/100/3.6*1000000</f>
        <v>22.585284572549121</v>
      </c>
      <c r="G10" s="35"/>
      <c r="H10" s="34"/>
      <c r="I10" s="34"/>
      <c r="J10" s="41">
        <f>C32*'E Balans VL '!D20/100/3.6*1000000+C32*'E Balans VL '!E20/100/3.6*1000000</f>
        <v>8.0151641327278497E-4</v>
      </c>
      <c r="K10" s="34"/>
      <c r="L10" s="34"/>
      <c r="M10" s="34"/>
      <c r="N10" s="34">
        <f>C32*'E Balans VL '!Y20/100/3.6*1000000</f>
        <v>3.011216875165867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29.493376141353501</v>
      </c>
      <c r="C12" s="34"/>
      <c r="D12" s="38">
        <f>IF( ISERROR(IND_min_gas_kWh/1000),0,IND_min_gas_kWh/1000)*0.902</f>
        <v>126.82555035589225</v>
      </c>
      <c r="E12" s="34">
        <f>C34*'E Balans VL '!I22/100/3.6*1000000</f>
        <v>0.7477095685009848</v>
      </c>
      <c r="F12" s="34">
        <f>C34*'E Balans VL '!L22/100/3.6*1000000+C34*'E Balans VL '!N22/100/3.6*1000000</f>
        <v>8.1609199801376189</v>
      </c>
      <c r="G12" s="35"/>
      <c r="H12" s="34"/>
      <c r="I12" s="34"/>
      <c r="J12" s="41">
        <f>C34*'E Balans VL '!D22/100/3.6*1000000+C34*'E Balans VL '!E22/100/3.6*1000000</f>
        <v>0.19478018275879908</v>
      </c>
      <c r="K12" s="34"/>
      <c r="L12" s="34"/>
      <c r="M12" s="34"/>
      <c r="N12" s="34">
        <f>C34*'E Balans VL '!Y22/100/3.6*1000000</f>
        <v>0</v>
      </c>
      <c r="O12" s="34"/>
      <c r="P12" s="34"/>
      <c r="R12" s="33"/>
    </row>
    <row r="13" spans="1:18">
      <c r="A13" s="6" t="s">
        <v>38</v>
      </c>
      <c r="B13" s="38">
        <f t="shared" si="0"/>
        <v>42.255940826712404</v>
      </c>
      <c r="C13" s="34"/>
      <c r="D13" s="38">
        <f>IF( ISERROR(IND_papier_gas_kWh/1000),0,IND_papier_gas_kWh/1000)*0.902</f>
        <v>0</v>
      </c>
      <c r="E13" s="34">
        <f>C35*'E Balans VL '!I23/100/3.6*1000000</f>
        <v>1.4392986117109483</v>
      </c>
      <c r="F13" s="34">
        <f>C35*'E Balans VL '!L23/100/3.6*1000000+C35*'E Balans VL '!N23/100/3.6*1000000</f>
        <v>6.9796896989891426</v>
      </c>
      <c r="G13" s="35"/>
      <c r="H13" s="34"/>
      <c r="I13" s="34"/>
      <c r="J13" s="41">
        <f>C35*'E Balans VL '!D23/100/3.6*1000000+C35*'E Balans VL '!E23/100/3.6*1000000</f>
        <v>0</v>
      </c>
      <c r="K13" s="34"/>
      <c r="L13" s="34"/>
      <c r="M13" s="34"/>
      <c r="N13" s="34">
        <f>C35*'E Balans VL '!Y23/100/3.6*1000000</f>
        <v>15.549053007744194</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1278.8580488278001</v>
      </c>
      <c r="C15" s="34"/>
      <c r="D15" s="38">
        <f>IF( ISERROR(IND_rest_gas_kWh/1000),0,IND_rest_gas_kWh/1000)*0.902</f>
        <v>1180.1528147511299</v>
      </c>
      <c r="E15" s="34">
        <f>C37*'E Balans VL '!I15/100/3.6*1000000</f>
        <v>11.491423190265584</v>
      </c>
      <c r="F15" s="34">
        <f>C37*'E Balans VL '!L15/100/3.6*1000000+C37*'E Balans VL '!N15/100/3.6*1000000</f>
        <v>251.83332860184012</v>
      </c>
      <c r="G15" s="35"/>
      <c r="H15" s="34"/>
      <c r="I15" s="34"/>
      <c r="J15" s="41">
        <f>C37*'E Balans VL '!D15/100/3.6*1000000+C37*'E Balans VL '!E15/100/3.6*1000000</f>
        <v>6.4310835057198954</v>
      </c>
      <c r="K15" s="34"/>
      <c r="L15" s="34"/>
      <c r="M15" s="34"/>
      <c r="N15" s="34">
        <f>C37*'E Balans VL '!Y15/100/3.6*1000000</f>
        <v>39.257572996400711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2158.2959716343398</v>
      </c>
      <c r="C18" s="22">
        <f>C5+C16</f>
        <v>0</v>
      </c>
      <c r="D18" s="22">
        <f>MAX((D5+D16),0)</f>
        <v>1964.7348174100177</v>
      </c>
      <c r="E18" s="22">
        <f>MAX((E5+E16),0)</f>
        <v>19.171083677995817</v>
      </c>
      <c r="F18" s="22">
        <f>MAX((F5+F16),0)</f>
        <v>770.33527379144789</v>
      </c>
      <c r="G18" s="22"/>
      <c r="H18" s="22"/>
      <c r="I18" s="22"/>
      <c r="J18" s="22">
        <f>MAX((J5+J16),0)</f>
        <v>6.6838284022840462</v>
      </c>
      <c r="K18" s="22"/>
      <c r="L18" s="22">
        <f>MAX((L5+L16),0)</f>
        <v>0</v>
      </c>
      <c r="M18" s="22"/>
      <c r="N18" s="22">
        <f>MAX((N5+N16),0)</f>
        <v>103.60521986089391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0.21086374740079347</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455.10637657885354</v>
      </c>
      <c r="C22" s="24">
        <f ca="1">C18*C20</f>
        <v>0</v>
      </c>
      <c r="D22" s="24">
        <f>D18*D20</f>
        <v>396.87643311682359</v>
      </c>
      <c r="E22" s="24">
        <f>E18*E20</f>
        <v>4.3518359949050502</v>
      </c>
      <c r="F22" s="24">
        <f>F18*F20</f>
        <v>205.67951810231659</v>
      </c>
      <c r="G22" s="24"/>
      <c r="H22" s="24"/>
      <c r="I22" s="24"/>
      <c r="J22" s="24">
        <f>J18*J20</f>
        <v>2.3660752544085524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604.33308809609696</v>
      </c>
      <c r="C31" s="40">
        <f>IF(ISERROR(B31*3.6/1000000/'E Balans VL '!Z19*100),0,B31*3.6/1000000/'E Balans VL '!Z19*100)</f>
        <v>2.8093858103956693E-2</v>
      </c>
      <c r="D31" s="236" t="s">
        <v>660</v>
      </c>
    </row>
    <row r="32" spans="1:18">
      <c r="A32" s="171" t="s">
        <v>40</v>
      </c>
      <c r="B32" s="38">
        <f>IF( ISERROR(IND_voed_ele_kWh/1000),0,IND_voed_ele_kWh/1000)</f>
        <v>203.355517742377</v>
      </c>
      <c r="C32" s="40">
        <f>IF(ISERROR(B32*3.6/1000000/'E Balans VL '!Z20*100),0,B32*3.6/1000000/'E Balans VL '!Z20*100)</f>
        <v>7.1882068583318803E-3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29.493376141353501</v>
      </c>
      <c r="C34" s="40">
        <f>IF(ISERROR(B34*3.6/1000000/'E Balans VL '!Z22*100),0,B34*3.6/1000000/'E Balans VL '!Z22*100)</f>
        <v>5.9273369193026011E-3</v>
      </c>
      <c r="D34" s="236" t="s">
        <v>660</v>
      </c>
    </row>
    <row r="35" spans="1:5">
      <c r="A35" s="171" t="s">
        <v>38</v>
      </c>
      <c r="B35" s="38">
        <f>IF( ISERROR(IND_papier_ele_kWh/1000),0,IND_papier_ele_kWh/1000)</f>
        <v>42.255940826712404</v>
      </c>
      <c r="C35" s="40">
        <f>IF(ISERROR(B35*3.6/1000000/'E Balans VL '!Z22*100),0,B35*3.6/1000000/'E Balans VL '!Z22*100)</f>
        <v>8.4922525288942466E-3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1278.8580488278001</v>
      </c>
      <c r="C37" s="40">
        <f>IF(ISERROR(B37*3.6/1000000/'E Balans VL '!Z15*100),0,B37*3.6/1000000/'E Balans VL '!Z15*100)</f>
        <v>9.6572674276571274E-3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222.96804253037021</v>
      </c>
      <c r="C5" s="18">
        <f>'Eigen informatie GS &amp; warmtenet'!B60</f>
        <v>0</v>
      </c>
      <c r="D5" s="31">
        <f>IF(ISERROR(SUM(LB_lb_gas_kWh,LB_rest_gas_kWh)/1000),0,SUM(LB_lb_gas_kWh,LB_rest_gas_kWh)/1000)*0.902</f>
        <v>266.47405422074479</v>
      </c>
      <c r="E5" s="18">
        <f>B17*'E Balans VL '!I25/3.6*1000000/100</f>
        <v>2.2018500020454805</v>
      </c>
      <c r="F5" s="18">
        <f>B17*('E Balans VL '!L25/3.6*1000000+'E Balans VL '!N25/3.6*1000000)/100</f>
        <v>743.88038677253337</v>
      </c>
      <c r="G5" s="19"/>
      <c r="H5" s="18"/>
      <c r="I5" s="18"/>
      <c r="J5" s="18">
        <f>('E Balans VL '!D25+'E Balans VL '!E25)/3.6*1000000*landbouw!B17/100</f>
        <v>22.245443084273788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222.96804253037021</v>
      </c>
      <c r="C8" s="22">
        <f>C5+C6</f>
        <v>0</v>
      </c>
      <c r="D8" s="22">
        <f>MAX((D5+D6),0)</f>
        <v>266.47405422074479</v>
      </c>
      <c r="E8" s="22">
        <f>MAX((E5+E6),0)</f>
        <v>2.2018500020454805</v>
      </c>
      <c r="F8" s="22">
        <f>MAX((F5+F6),0)</f>
        <v>743.88038677253337</v>
      </c>
      <c r="G8" s="22"/>
      <c r="H8" s="22"/>
      <c r="I8" s="22"/>
      <c r="J8" s="22">
        <f>MAX((J5+J6),0)</f>
        <v>22.245443084273788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0.21086374740079347</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47.015876998573361</v>
      </c>
      <c r="C12" s="24">
        <f ca="1">C8*C10</f>
        <v>0</v>
      </c>
      <c r="D12" s="24">
        <f>D8*D10</f>
        <v>53.82775895259045</v>
      </c>
      <c r="E12" s="24">
        <f>E8*E10</f>
        <v>0.49981995046432409</v>
      </c>
      <c r="F12" s="24">
        <f>F8*F10</f>
        <v>198.61606326826643</v>
      </c>
      <c r="G12" s="24"/>
      <c r="H12" s="24"/>
      <c r="I12" s="24"/>
      <c r="J12" s="24">
        <f>J8*J10</f>
        <v>7.8748868518329207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3.0186310043188093E-2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45.956398693527561</v>
      </c>
      <c r="C26" s="246">
        <f>B26*'GWP N2O_CH4'!B5</f>
        <v>965.08437256407876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2.5713755916125334</v>
      </c>
      <c r="C27" s="246">
        <f>B27*'GWP N2O_CH4'!B5</f>
        <v>53.998887423863202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0.82560823026346397</v>
      </c>
      <c r="C28" s="246">
        <f>B28*'GWP N2O_CH4'!B4</f>
        <v>255.93855138167382</v>
      </c>
      <c r="D28" s="51"/>
    </row>
    <row r="29" spans="1:4">
      <c r="A29" s="42" t="s">
        <v>266</v>
      </c>
      <c r="B29" s="246">
        <f>B34*'ha_N2O bodem landbouw'!B4</f>
        <v>7.9972790385036774</v>
      </c>
      <c r="C29" s="246">
        <f>B29*'GWP N2O_CH4'!B4</f>
        <v>2479.1565019361401</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2.1590135839178802E-3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3.5467288519764982E-5</v>
      </c>
      <c r="C5" s="433" t="s">
        <v>204</v>
      </c>
      <c r="D5" s="418">
        <f>SUM(D6:D11)</f>
        <v>4.3211059311699151E-5</v>
      </c>
      <c r="E5" s="418">
        <f>SUM(E6:E11)</f>
        <v>3.1932139848284478E-3</v>
      </c>
      <c r="F5" s="431" t="s">
        <v>204</v>
      </c>
      <c r="G5" s="418">
        <f>SUM(G6:G11)</f>
        <v>0.62724775950298228</v>
      </c>
      <c r="H5" s="418">
        <f>SUM(H6:H11)</f>
        <v>0.11402838850554259</v>
      </c>
      <c r="I5" s="433" t="s">
        <v>204</v>
      </c>
      <c r="J5" s="433" t="s">
        <v>204</v>
      </c>
      <c r="K5" s="433" t="s">
        <v>204</v>
      </c>
      <c r="L5" s="433" t="s">
        <v>204</v>
      </c>
      <c r="M5" s="418">
        <f>SUM(M6:M11)</f>
        <v>3.3132928594044007E-2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3.108684510656993E-6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3.6055084970477196E-6</v>
      </c>
      <c r="E6" s="421">
        <f>vkm_GW_PW*SUMIFS(TableVerdeelsleutelVkm[LPG],TableVerdeelsleutelVkm[Voertuigtype],"Lichte voertuigen")*SUMIFS(TableECFTransport[EnergieConsumptieFactor (PJ per km)],TableECFTransport[Index],CONCATENATE($A6,"_LPG_LPG"))</f>
        <v>2.3337131451171605E-4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3.6796062379024955E-2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9.3043736261677248E-3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2.0634585973201324E-3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2.6631835650824618E-8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4.4054629229485281E-3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1.3729610924182834E-7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1.9602960270944948E-4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6.0255202419488236E-6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1.1389851077883402E-5</v>
      </c>
      <c r="E8" s="421">
        <f>vkm_NGW_PW*SUMIFS(TableVerdeelsleutelVkm[LPG],TableVerdeelsleutelVkm[Voertuigtype],"Lichte voertuigen")*SUMIFS(TableECFTransport[EnergieConsumptieFactor (PJ per km)],TableECFTransport[Index],CONCATENATE($A8,"_LPG_LPG"))</f>
        <v>6.9673039602439438E-4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0.10387215779949774</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2.7975177369816084E-2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5.9032843313732552E-3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3.3321621923264437E-8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7.0684079339322437E-3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2.0734793130803393E-7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3.1452190434752336E-4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2.5333564884226847E-5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2.821569973676803E-5</v>
      </c>
      <c r="E10" s="421">
        <f>vkm_SW_PW*SUMIFS(TableVerdeelsleutelVkm[LPG],TableVerdeelsleutelVkm[Voertuigtype],"Lichte voertuigen")*SUMIFS(TableECFTransport[EnergieConsumptieFactor (PJ per km)],TableECFTransport[Index],CONCATENATE($A10,"_LPG_LPG"))</f>
        <v>2.2631122742923374E-3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0.32951772178529998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7.6743507298088348E-2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1.81773960440644E-2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9.3956542535822677E-7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0.14558794668227884</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4.9855674298843647E-6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6.4782381142292501E-3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9.8520245888236051</v>
      </c>
      <c r="C14" s="22"/>
      <c r="D14" s="22">
        <f t="shared" ref="D14:M14" si="0">((D5)*10^9/3600)+D12</f>
        <v>12.003072031027543</v>
      </c>
      <c r="E14" s="22">
        <f t="shared" si="0"/>
        <v>887.00388467456889</v>
      </c>
      <c r="F14" s="22"/>
      <c r="G14" s="22">
        <f t="shared" si="0"/>
        <v>174235.4887508284</v>
      </c>
      <c r="H14" s="22">
        <f t="shared" si="0"/>
        <v>31674.55236265072</v>
      </c>
      <c r="I14" s="22"/>
      <c r="J14" s="22"/>
      <c r="K14" s="22"/>
      <c r="L14" s="22"/>
      <c r="M14" s="22">
        <f t="shared" si="0"/>
        <v>9203.5912761233358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0.21086374740079347</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2.077434824284107</v>
      </c>
      <c r="C18" s="24"/>
      <c r="D18" s="24">
        <f t="shared" ref="D18:M18" si="1">D14*D16</f>
        <v>2.424620550267564</v>
      </c>
      <c r="E18" s="24">
        <f t="shared" si="1"/>
        <v>201.34988182112716</v>
      </c>
      <c r="F18" s="24"/>
      <c r="G18" s="24">
        <f t="shared" si="1"/>
        <v>46520.875496471184</v>
      </c>
      <c r="H18" s="24">
        <f t="shared" si="1"/>
        <v>7886.9635383000295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7.6586425490512129E-5</v>
      </c>
      <c r="C50" s="316">
        <f t="shared" ref="C50:P50" si="2">SUM(C51:C52)</f>
        <v>0</v>
      </c>
      <c r="D50" s="316">
        <f t="shared" si="2"/>
        <v>0</v>
      </c>
      <c r="E50" s="316">
        <f t="shared" si="2"/>
        <v>0</v>
      </c>
      <c r="F50" s="316">
        <f t="shared" si="2"/>
        <v>0</v>
      </c>
      <c r="G50" s="316">
        <f t="shared" si="2"/>
        <v>1.5275313982320016E-2</v>
      </c>
      <c r="H50" s="316">
        <f t="shared" si="2"/>
        <v>0</v>
      </c>
      <c r="I50" s="316">
        <f t="shared" si="2"/>
        <v>0</v>
      </c>
      <c r="J50" s="316">
        <f t="shared" si="2"/>
        <v>0</v>
      </c>
      <c r="K50" s="316">
        <f t="shared" si="2"/>
        <v>0</v>
      </c>
      <c r="L50" s="316">
        <f t="shared" si="2"/>
        <v>0</v>
      </c>
      <c r="M50" s="316">
        <f t="shared" si="2"/>
        <v>6.7515260915345277E-4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7.6586425490512129E-5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1.5275313982320016E-2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6.7515260915345277E-4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21.274007080697814</v>
      </c>
      <c r="C54" s="22">
        <f t="shared" ref="C54:P54" si="3">(C50)*10^9/3600</f>
        <v>0</v>
      </c>
      <c r="D54" s="22">
        <f t="shared" si="3"/>
        <v>0</v>
      </c>
      <c r="E54" s="22">
        <f t="shared" si="3"/>
        <v>0</v>
      </c>
      <c r="F54" s="22">
        <f t="shared" si="3"/>
        <v>0</v>
      </c>
      <c r="G54" s="22">
        <f t="shared" si="3"/>
        <v>4243.1427728666713</v>
      </c>
      <c r="H54" s="22">
        <f t="shared" si="3"/>
        <v>0</v>
      </c>
      <c r="I54" s="22">
        <f t="shared" si="3"/>
        <v>0</v>
      </c>
      <c r="J54" s="22">
        <f t="shared" si="3"/>
        <v>0</v>
      </c>
      <c r="K54" s="22">
        <f t="shared" si="3"/>
        <v>0</v>
      </c>
      <c r="L54" s="22">
        <f t="shared" si="3"/>
        <v>0</v>
      </c>
      <c r="M54" s="22">
        <f t="shared" si="3"/>
        <v>187.54239143151466</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0.21086374740079347</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4.4859168552669555</v>
      </c>
      <c r="C58" s="24">
        <f t="shared" ref="C58:P58" ca="1" si="4">C54*C56</f>
        <v>0</v>
      </c>
      <c r="D58" s="24">
        <f t="shared" si="4"/>
        <v>0</v>
      </c>
      <c r="E58" s="24">
        <f t="shared" si="4"/>
        <v>0</v>
      </c>
      <c r="F58" s="24">
        <f t="shared" si="4"/>
        <v>0</v>
      </c>
      <c r="G58" s="24">
        <f t="shared" si="4"/>
        <v>1132.9191203554012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3284.7043729311349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2367</v>
      </c>
      <c r="C8" s="544">
        <f>B48</f>
        <v>2784.705882352941</v>
      </c>
      <c r="D8" s="931"/>
      <c r="E8" s="931">
        <f>E48</f>
        <v>0</v>
      </c>
      <c r="F8" s="932"/>
      <c r="G8" s="545"/>
      <c r="H8" s="931">
        <f>I48</f>
        <v>0</v>
      </c>
      <c r="I8" s="931">
        <f>G48+F48</f>
        <v>0</v>
      </c>
      <c r="J8" s="931">
        <f>H48+D48+C48</f>
        <v>0</v>
      </c>
      <c r="K8" s="931"/>
      <c r="L8" s="931"/>
      <c r="M8" s="931"/>
      <c r="N8" s="546"/>
      <c r="O8" s="547">
        <f>C8*$C$12+D8*$D$12+E8*$E$12+F8*$F$12+G8*$G$12+H8*$H$12+I8*$I$12+J8*$J$12</f>
        <v>562.51058823529411</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5651.7043729311354</v>
      </c>
      <c r="C10" s="556">
        <f t="shared" ref="C10:L10" si="0">SUM(C8:C9)</f>
        <v>2784.705882352941</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562.51058823529411</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3381.4285714285716</v>
      </c>
      <c r="C17" s="568">
        <f>B49</f>
        <v>3978.1512605042021</v>
      </c>
      <c r="D17" s="569"/>
      <c r="E17" s="569">
        <f>E49</f>
        <v>0</v>
      </c>
      <c r="F17" s="570"/>
      <c r="G17" s="571"/>
      <c r="H17" s="568">
        <f>I49</f>
        <v>0</v>
      </c>
      <c r="I17" s="569">
        <f>G49+F49</f>
        <v>0</v>
      </c>
      <c r="J17" s="569">
        <f>H49+D49+C49</f>
        <v>0</v>
      </c>
      <c r="K17" s="569"/>
      <c r="L17" s="569"/>
      <c r="M17" s="569"/>
      <c r="N17" s="938"/>
      <c r="O17" s="572">
        <f>C17*$C$22+E17*$E$22+H17*$H$22+I17*$I$22+J17*$J$22+D17*$D$22+F17*$F$22+G17*$G$22+K17*$K$22+L17*$L$22</f>
        <v>803.5865546218489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3381.4285714285716</v>
      </c>
      <c r="C20" s="555">
        <f>SUM(C17:C19)</f>
        <v>3978.1512605042021</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803.5865546218489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24055</v>
      </c>
      <c r="C28" s="740">
        <v>3071</v>
      </c>
      <c r="D28" s="628"/>
      <c r="E28" s="627"/>
      <c r="F28" s="627"/>
      <c r="G28" s="627" t="s">
        <v>942</v>
      </c>
      <c r="H28" s="627" t="s">
        <v>943</v>
      </c>
      <c r="I28" s="627"/>
      <c r="J28" s="739"/>
      <c r="K28" s="739"/>
      <c r="L28" s="627" t="s">
        <v>944</v>
      </c>
      <c r="M28" s="627">
        <v>526</v>
      </c>
      <c r="N28" s="627">
        <v>2367</v>
      </c>
      <c r="O28" s="627">
        <v>3381.4285714285716</v>
      </c>
      <c r="P28" s="627">
        <v>6762.8571428571431</v>
      </c>
      <c r="Q28" s="627">
        <v>0</v>
      </c>
      <c r="R28" s="627">
        <v>0</v>
      </c>
      <c r="S28" s="627">
        <v>0</v>
      </c>
      <c r="T28" s="627">
        <v>0</v>
      </c>
      <c r="U28" s="627">
        <v>0</v>
      </c>
      <c r="V28" s="627">
        <v>0</v>
      </c>
      <c r="W28" s="627"/>
      <c r="X28" s="627"/>
      <c r="Y28" s="627">
        <v>1100</v>
      </c>
      <c r="Z28" s="627" t="s">
        <v>51</v>
      </c>
      <c r="AA28" s="629" t="s">
        <v>149</v>
      </c>
    </row>
    <row r="29" spans="1:27" s="563" customFormat="1" hidden="1">
      <c r="A29" s="583" t="s">
        <v>269</v>
      </c>
      <c r="B29" s="584"/>
      <c r="C29" s="584"/>
      <c r="D29" s="584"/>
      <c r="E29" s="584"/>
      <c r="F29" s="584"/>
      <c r="G29" s="584"/>
      <c r="H29" s="584"/>
      <c r="I29" s="584"/>
      <c r="J29" s="584"/>
      <c r="K29" s="584"/>
      <c r="L29" s="585"/>
      <c r="M29" s="585">
        <f>SUM(M28:M28)</f>
        <v>526</v>
      </c>
      <c r="N29" s="585">
        <f>SUM(N28:N28)</f>
        <v>2367</v>
      </c>
      <c r="O29" s="585">
        <f>SUM(O28:O28)</f>
        <v>3381.4285714285716</v>
      </c>
      <c r="P29" s="585">
        <f>SUM(P28:P28)</f>
        <v>6762.8571428571431</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526</v>
      </c>
      <c r="N31" s="585">
        <f ca="1">SUMIF($AA$28:AE28,"tertiair",N28:N28)</f>
        <v>2367</v>
      </c>
      <c r="O31" s="585">
        <f ca="1">SUMIF($AA$28:AF28,"tertiair",O28:O28)</f>
        <v>3381.4285714285716</v>
      </c>
      <c r="P31" s="585">
        <f ca="1">SUMIF($AA$28:AG28,"tertiair",P28:P28)</f>
        <v>6762.8571428571431</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2784.705882352941</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3978.1512605042021</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28223.252996386986</v>
      </c>
      <c r="D10" s="639">
        <f ca="1">tertiair!C16</f>
        <v>3381.4285714285716</v>
      </c>
      <c r="E10" s="639">
        <f ca="1">tertiair!D16</f>
        <v>37671.147756697377</v>
      </c>
      <c r="F10" s="639">
        <f>tertiair!E16</f>
        <v>172.18571709995996</v>
      </c>
      <c r="G10" s="639">
        <f ca="1">tertiair!F16</f>
        <v>4179.1801612407153</v>
      </c>
      <c r="H10" s="639">
        <f>tertiair!G16</f>
        <v>0</v>
      </c>
      <c r="I10" s="639">
        <f>tertiair!H16</f>
        <v>0</v>
      </c>
      <c r="J10" s="639">
        <f>tertiair!I16</f>
        <v>0</v>
      </c>
      <c r="K10" s="639">
        <f>tertiair!J16</f>
        <v>0</v>
      </c>
      <c r="L10" s="639">
        <f>tertiair!K16</f>
        <v>0</v>
      </c>
      <c r="M10" s="639">
        <f ca="1">tertiair!L16</f>
        <v>0</v>
      </c>
      <c r="N10" s="639">
        <f>tertiair!M16</f>
        <v>0</v>
      </c>
      <c r="O10" s="639">
        <f ca="1">tertiair!N16</f>
        <v>820.8910690800501</v>
      </c>
      <c r="P10" s="639">
        <f>tertiair!O16</f>
        <v>1.5633333333333335</v>
      </c>
      <c r="Q10" s="640">
        <f>tertiair!P16</f>
        <v>19.066666666666666</v>
      </c>
      <c r="R10" s="642">
        <f ca="1">SUM(C10:Q10)</f>
        <v>74468.716271933663</v>
      </c>
      <c r="S10" s="68"/>
    </row>
    <row r="11" spans="1:19" s="443" customFormat="1">
      <c r="A11" s="753" t="s">
        <v>214</v>
      </c>
      <c r="B11" s="758"/>
      <c r="C11" s="639">
        <f>huishoudens!B8</f>
        <v>35948.852280828542</v>
      </c>
      <c r="D11" s="639">
        <f>huishoudens!C8</f>
        <v>0</v>
      </c>
      <c r="E11" s="639">
        <f>huishoudens!D8</f>
        <v>94256.014728004229</v>
      </c>
      <c r="F11" s="639">
        <f>huishoudens!E8</f>
        <v>1502.058300970014</v>
      </c>
      <c r="G11" s="639">
        <f>huishoudens!F8</f>
        <v>45793.396676926583</v>
      </c>
      <c r="H11" s="639">
        <f>huishoudens!G8</f>
        <v>0</v>
      </c>
      <c r="I11" s="639">
        <f>huishoudens!H8</f>
        <v>0</v>
      </c>
      <c r="J11" s="639">
        <f>huishoudens!I8</f>
        <v>0</v>
      </c>
      <c r="K11" s="639">
        <f>huishoudens!J8</f>
        <v>830.90522618453792</v>
      </c>
      <c r="L11" s="639">
        <f>huishoudens!K8</f>
        <v>0</v>
      </c>
      <c r="M11" s="639">
        <f>huishoudens!L8</f>
        <v>0</v>
      </c>
      <c r="N11" s="639">
        <f>huishoudens!M8</f>
        <v>0</v>
      </c>
      <c r="O11" s="639">
        <f>huishoudens!N8</f>
        <v>11229.189589878129</v>
      </c>
      <c r="P11" s="639">
        <f>huishoudens!O8</f>
        <v>112.56000000000002</v>
      </c>
      <c r="Q11" s="640">
        <f>huishoudens!P8</f>
        <v>381.33333333333337</v>
      </c>
      <c r="R11" s="642">
        <f>SUM(C11:Q11)</f>
        <v>190054.31013612539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2158.2959716343398</v>
      </c>
      <c r="D13" s="639">
        <f>industrie!C18</f>
        <v>0</v>
      </c>
      <c r="E13" s="639">
        <f>industrie!D18</f>
        <v>1964.7348174100177</v>
      </c>
      <c r="F13" s="639">
        <f>industrie!E18</f>
        <v>19.171083677995817</v>
      </c>
      <c r="G13" s="639">
        <f>industrie!F18</f>
        <v>770.33527379144789</v>
      </c>
      <c r="H13" s="639">
        <f>industrie!G18</f>
        <v>0</v>
      </c>
      <c r="I13" s="639">
        <f>industrie!H18</f>
        <v>0</v>
      </c>
      <c r="J13" s="639">
        <f>industrie!I18</f>
        <v>0</v>
      </c>
      <c r="K13" s="639">
        <f>industrie!J18</f>
        <v>6.6838284022840462</v>
      </c>
      <c r="L13" s="639">
        <f>industrie!K18</f>
        <v>0</v>
      </c>
      <c r="M13" s="639">
        <f>industrie!L18</f>
        <v>0</v>
      </c>
      <c r="N13" s="639">
        <f>industrie!M18</f>
        <v>0</v>
      </c>
      <c r="O13" s="639">
        <f>industrie!N18</f>
        <v>103.60521986089391</v>
      </c>
      <c r="P13" s="639">
        <f>industrie!O18</f>
        <v>0</v>
      </c>
      <c r="Q13" s="640">
        <f>industrie!P18</f>
        <v>0</v>
      </c>
      <c r="R13" s="642">
        <f>SUM(C13:Q13)</f>
        <v>5022.8261947769797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66330.40124884987</v>
      </c>
      <c r="D16" s="672">
        <f t="shared" ref="D16:R16" ca="1" si="0">SUM(D9:D15)</f>
        <v>3381.4285714285716</v>
      </c>
      <c r="E16" s="672">
        <f t="shared" ca="1" si="0"/>
        <v>133891.89730211161</v>
      </c>
      <c r="F16" s="672">
        <f t="shared" si="0"/>
        <v>1693.4151017479696</v>
      </c>
      <c r="G16" s="672">
        <f t="shared" ca="1" si="0"/>
        <v>50742.912111958743</v>
      </c>
      <c r="H16" s="672">
        <f t="shared" si="0"/>
        <v>0</v>
      </c>
      <c r="I16" s="672">
        <f t="shared" si="0"/>
        <v>0</v>
      </c>
      <c r="J16" s="672">
        <f t="shared" si="0"/>
        <v>0</v>
      </c>
      <c r="K16" s="672">
        <f t="shared" si="0"/>
        <v>837.58905458682193</v>
      </c>
      <c r="L16" s="672">
        <f t="shared" si="0"/>
        <v>0</v>
      </c>
      <c r="M16" s="672">
        <f t="shared" ca="1" si="0"/>
        <v>0</v>
      </c>
      <c r="N16" s="672">
        <f t="shared" si="0"/>
        <v>0</v>
      </c>
      <c r="O16" s="672">
        <f t="shared" ca="1" si="0"/>
        <v>12153.685878819073</v>
      </c>
      <c r="P16" s="672">
        <f t="shared" si="0"/>
        <v>114.12333333333335</v>
      </c>
      <c r="Q16" s="672">
        <f t="shared" si="0"/>
        <v>400.40000000000003</v>
      </c>
      <c r="R16" s="672">
        <f t="shared" ca="1" si="0"/>
        <v>269545.85260283604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21.274007080697814</v>
      </c>
      <c r="D19" s="639">
        <f>transport!C54</f>
        <v>0</v>
      </c>
      <c r="E19" s="639">
        <f>transport!D54</f>
        <v>0</v>
      </c>
      <c r="F19" s="639">
        <f>transport!E54</f>
        <v>0</v>
      </c>
      <c r="G19" s="639">
        <f>transport!F54</f>
        <v>0</v>
      </c>
      <c r="H19" s="639">
        <f>transport!G54</f>
        <v>4243.1427728666713</v>
      </c>
      <c r="I19" s="639">
        <f>transport!H54</f>
        <v>0</v>
      </c>
      <c r="J19" s="639">
        <f>transport!I54</f>
        <v>0</v>
      </c>
      <c r="K19" s="639">
        <f>transport!J54</f>
        <v>0</v>
      </c>
      <c r="L19" s="639">
        <f>transport!K54</f>
        <v>0</v>
      </c>
      <c r="M19" s="639">
        <f>transport!L54</f>
        <v>0</v>
      </c>
      <c r="N19" s="639">
        <f>transport!M54</f>
        <v>187.54239143151466</v>
      </c>
      <c r="O19" s="639">
        <f>transport!N54</f>
        <v>0</v>
      </c>
      <c r="P19" s="639">
        <f>transport!O54</f>
        <v>0</v>
      </c>
      <c r="Q19" s="640">
        <f>transport!P54</f>
        <v>0</v>
      </c>
      <c r="R19" s="642">
        <f>SUM(C19:Q19)</f>
        <v>4451.9591713788832</v>
      </c>
      <c r="S19" s="68"/>
    </row>
    <row r="20" spans="1:19" s="443" customFormat="1">
      <c r="A20" s="753" t="s">
        <v>296</v>
      </c>
      <c r="B20" s="758"/>
      <c r="C20" s="639">
        <f>transport!B14</f>
        <v>9.8520245888236051</v>
      </c>
      <c r="D20" s="639">
        <f>transport!C14</f>
        <v>0</v>
      </c>
      <c r="E20" s="639">
        <f>transport!D14</f>
        <v>12.003072031027543</v>
      </c>
      <c r="F20" s="639">
        <f>transport!E14</f>
        <v>887.00388467456889</v>
      </c>
      <c r="G20" s="639">
        <f>transport!F14</f>
        <v>0</v>
      </c>
      <c r="H20" s="639">
        <f>transport!G14</f>
        <v>174235.4887508284</v>
      </c>
      <c r="I20" s="639">
        <f>transport!H14</f>
        <v>31674.55236265072</v>
      </c>
      <c r="J20" s="639">
        <f>transport!I14</f>
        <v>0</v>
      </c>
      <c r="K20" s="639">
        <f>transport!J14</f>
        <v>0</v>
      </c>
      <c r="L20" s="639">
        <f>transport!K14</f>
        <v>0</v>
      </c>
      <c r="M20" s="639">
        <f>transport!L14</f>
        <v>0</v>
      </c>
      <c r="N20" s="639">
        <f>transport!M14</f>
        <v>9203.5912761233358</v>
      </c>
      <c r="O20" s="639">
        <f>transport!N14</f>
        <v>0</v>
      </c>
      <c r="P20" s="639">
        <f>transport!O14</f>
        <v>0</v>
      </c>
      <c r="Q20" s="640">
        <f>transport!P14</f>
        <v>0</v>
      </c>
      <c r="R20" s="642">
        <f>SUM(C20:Q20)</f>
        <v>216022.49137089687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31.126031669521417</v>
      </c>
      <c r="D22" s="756">
        <f t="shared" ref="D22:R22" si="1">SUM(D18:D21)</f>
        <v>0</v>
      </c>
      <c r="E22" s="756">
        <f t="shared" si="1"/>
        <v>12.003072031027543</v>
      </c>
      <c r="F22" s="756">
        <f t="shared" si="1"/>
        <v>887.00388467456889</v>
      </c>
      <c r="G22" s="756">
        <f t="shared" si="1"/>
        <v>0</v>
      </c>
      <c r="H22" s="756">
        <f t="shared" si="1"/>
        <v>178478.63152369508</v>
      </c>
      <c r="I22" s="756">
        <f t="shared" si="1"/>
        <v>31674.55236265072</v>
      </c>
      <c r="J22" s="756">
        <f t="shared" si="1"/>
        <v>0</v>
      </c>
      <c r="K22" s="756">
        <f t="shared" si="1"/>
        <v>0</v>
      </c>
      <c r="L22" s="756">
        <f t="shared" si="1"/>
        <v>0</v>
      </c>
      <c r="M22" s="756">
        <f t="shared" si="1"/>
        <v>0</v>
      </c>
      <c r="N22" s="756">
        <f t="shared" si="1"/>
        <v>9391.13366755485</v>
      </c>
      <c r="O22" s="756">
        <f t="shared" si="1"/>
        <v>0</v>
      </c>
      <c r="P22" s="756">
        <f t="shared" si="1"/>
        <v>0</v>
      </c>
      <c r="Q22" s="756">
        <f t="shared" si="1"/>
        <v>0</v>
      </c>
      <c r="R22" s="756">
        <f t="shared" si="1"/>
        <v>220474.45054227574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222.96804253037021</v>
      </c>
      <c r="D24" s="639">
        <f>+landbouw!C8</f>
        <v>0</v>
      </c>
      <c r="E24" s="639">
        <f>+landbouw!D8</f>
        <v>266.47405422074479</v>
      </c>
      <c r="F24" s="639">
        <f>+landbouw!E8</f>
        <v>2.2018500020454805</v>
      </c>
      <c r="G24" s="639">
        <f>+landbouw!F8</f>
        <v>743.88038677253337</v>
      </c>
      <c r="H24" s="639">
        <f>+landbouw!G8</f>
        <v>0</v>
      </c>
      <c r="I24" s="639">
        <f>+landbouw!H8</f>
        <v>0</v>
      </c>
      <c r="J24" s="639">
        <f>+landbouw!I8</f>
        <v>0</v>
      </c>
      <c r="K24" s="639">
        <f>+landbouw!J8</f>
        <v>22.245443084273788</v>
      </c>
      <c r="L24" s="639">
        <f>+landbouw!K8</f>
        <v>0</v>
      </c>
      <c r="M24" s="639">
        <f>+landbouw!L8</f>
        <v>0</v>
      </c>
      <c r="N24" s="639">
        <f>+landbouw!M8</f>
        <v>0</v>
      </c>
      <c r="O24" s="639">
        <f>+landbouw!N8</f>
        <v>0</v>
      </c>
      <c r="P24" s="639">
        <f>+landbouw!O8</f>
        <v>0</v>
      </c>
      <c r="Q24" s="640">
        <f>+landbouw!P8</f>
        <v>0</v>
      </c>
      <c r="R24" s="642">
        <f>SUM(C24:Q24)</f>
        <v>1257.7697766099677</v>
      </c>
      <c r="S24" s="68"/>
    </row>
    <row r="25" spans="1:19" s="443" customFormat="1" ht="15" thickBot="1">
      <c r="A25" s="775" t="s">
        <v>847</v>
      </c>
      <c r="B25" s="941"/>
      <c r="C25" s="942">
        <f>IF(Onbekend_ele_kWh="---",0,Onbekend_ele_kWh)/1000+IF(REST_rest_ele_kWh="---",0,REST_rest_ele_kWh)/1000</f>
        <v>1144.2901884937999</v>
      </c>
      <c r="D25" s="942"/>
      <c r="E25" s="942">
        <f>IF(onbekend_gas_kWh="---",0,onbekend_gas_kWh)/1000+IF(REST_rest_gas_kWh="---",0,REST_rest_gas_kWh)/1000</f>
        <v>4511.6575179969395</v>
      </c>
      <c r="F25" s="942"/>
      <c r="G25" s="942"/>
      <c r="H25" s="942"/>
      <c r="I25" s="942"/>
      <c r="J25" s="942"/>
      <c r="K25" s="942"/>
      <c r="L25" s="942"/>
      <c r="M25" s="942"/>
      <c r="N25" s="942"/>
      <c r="O25" s="942"/>
      <c r="P25" s="942"/>
      <c r="Q25" s="943"/>
      <c r="R25" s="642">
        <f>SUM(C25:Q25)</f>
        <v>5655.9477064907396</v>
      </c>
      <c r="S25" s="68"/>
    </row>
    <row r="26" spans="1:19" s="443" customFormat="1" ht="15.75" thickBot="1">
      <c r="A26" s="645" t="s">
        <v>848</v>
      </c>
      <c r="B26" s="761"/>
      <c r="C26" s="756">
        <f>SUM(C24:C25)</f>
        <v>1367.2582310241701</v>
      </c>
      <c r="D26" s="756">
        <f t="shared" ref="D26:R26" si="2">SUM(D24:D25)</f>
        <v>0</v>
      </c>
      <c r="E26" s="756">
        <f t="shared" si="2"/>
        <v>4778.1315722176842</v>
      </c>
      <c r="F26" s="756">
        <f t="shared" si="2"/>
        <v>2.2018500020454805</v>
      </c>
      <c r="G26" s="756">
        <f t="shared" si="2"/>
        <v>743.88038677253337</v>
      </c>
      <c r="H26" s="756">
        <f t="shared" si="2"/>
        <v>0</v>
      </c>
      <c r="I26" s="756">
        <f t="shared" si="2"/>
        <v>0</v>
      </c>
      <c r="J26" s="756">
        <f t="shared" si="2"/>
        <v>0</v>
      </c>
      <c r="K26" s="756">
        <f t="shared" si="2"/>
        <v>22.245443084273788</v>
      </c>
      <c r="L26" s="756">
        <f t="shared" si="2"/>
        <v>0</v>
      </c>
      <c r="M26" s="756">
        <f t="shared" si="2"/>
        <v>0</v>
      </c>
      <c r="N26" s="756">
        <f t="shared" si="2"/>
        <v>0</v>
      </c>
      <c r="O26" s="756">
        <f t="shared" si="2"/>
        <v>0</v>
      </c>
      <c r="P26" s="756">
        <f t="shared" si="2"/>
        <v>0</v>
      </c>
      <c r="Q26" s="756">
        <f t="shared" si="2"/>
        <v>0</v>
      </c>
      <c r="R26" s="756">
        <f t="shared" si="2"/>
        <v>6913.7174831007069</v>
      </c>
      <c r="S26" s="68"/>
    </row>
    <row r="27" spans="1:19" s="443" customFormat="1" ht="17.25" thickTop="1" thickBot="1">
      <c r="A27" s="646" t="s">
        <v>109</v>
      </c>
      <c r="B27" s="748"/>
      <c r="C27" s="647">
        <f ca="1">C22+C16+C26</f>
        <v>67728.785511543567</v>
      </c>
      <c r="D27" s="647">
        <f t="shared" ref="D27:R27" ca="1" si="3">D22+D16+D26</f>
        <v>3381.4285714285716</v>
      </c>
      <c r="E27" s="647">
        <f t="shared" ca="1" si="3"/>
        <v>138682.03194636031</v>
      </c>
      <c r="F27" s="647">
        <f t="shared" si="3"/>
        <v>2582.620836424584</v>
      </c>
      <c r="G27" s="647">
        <f t="shared" ca="1" si="3"/>
        <v>51486.79249873128</v>
      </c>
      <c r="H27" s="647">
        <f t="shared" si="3"/>
        <v>178478.63152369508</v>
      </c>
      <c r="I27" s="647">
        <f t="shared" si="3"/>
        <v>31674.55236265072</v>
      </c>
      <c r="J27" s="647">
        <f t="shared" si="3"/>
        <v>0</v>
      </c>
      <c r="K27" s="647">
        <f t="shared" si="3"/>
        <v>859.83449767109573</v>
      </c>
      <c r="L27" s="647">
        <f t="shared" si="3"/>
        <v>0</v>
      </c>
      <c r="M27" s="647">
        <f t="shared" ca="1" si="3"/>
        <v>0</v>
      </c>
      <c r="N27" s="647">
        <f t="shared" si="3"/>
        <v>9391.13366755485</v>
      </c>
      <c r="O27" s="647">
        <f t="shared" ca="1" si="3"/>
        <v>12153.685878819073</v>
      </c>
      <c r="P27" s="647">
        <f t="shared" si="3"/>
        <v>114.12333333333335</v>
      </c>
      <c r="Q27" s="647">
        <f t="shared" si="3"/>
        <v>400.40000000000003</v>
      </c>
      <c r="R27" s="647">
        <f t="shared" ca="1" si="3"/>
        <v>496934.02062821249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5951.260890658833</v>
      </c>
      <c r="D40" s="639">
        <f ca="1">tertiair!C20</f>
        <v>803.5865546218489</v>
      </c>
      <c r="E40" s="639">
        <f ca="1">tertiair!D20</f>
        <v>7609.5718468528703</v>
      </c>
      <c r="F40" s="639">
        <f>tertiair!E20</f>
        <v>39.086157781690915</v>
      </c>
      <c r="G40" s="639">
        <f ca="1">tertiair!F20</f>
        <v>1115.8411030512711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15519.346552966514</v>
      </c>
    </row>
    <row r="41" spans="1:18">
      <c r="A41" s="766" t="s">
        <v>214</v>
      </c>
      <c r="B41" s="773"/>
      <c r="C41" s="639">
        <f ca="1">huishoudens!B12</f>
        <v>7580.3097066930677</v>
      </c>
      <c r="D41" s="639">
        <f ca="1">huishoudens!C12</f>
        <v>0</v>
      </c>
      <c r="E41" s="639">
        <f>huishoudens!D12</f>
        <v>19039.714975056857</v>
      </c>
      <c r="F41" s="639">
        <f>huishoudens!E12</f>
        <v>340.9672343201932</v>
      </c>
      <c r="G41" s="639">
        <f>huishoudens!F12</f>
        <v>12226.836912739398</v>
      </c>
      <c r="H41" s="639">
        <f>huishoudens!G12</f>
        <v>0</v>
      </c>
      <c r="I41" s="639">
        <f>huishoudens!H12</f>
        <v>0</v>
      </c>
      <c r="J41" s="639">
        <f>huishoudens!I12</f>
        <v>0</v>
      </c>
      <c r="K41" s="639">
        <f>huishoudens!J12</f>
        <v>294.14045006932639</v>
      </c>
      <c r="L41" s="639">
        <f>huishoudens!K12</f>
        <v>0</v>
      </c>
      <c r="M41" s="639">
        <f>huishoudens!L12</f>
        <v>0</v>
      </c>
      <c r="N41" s="639">
        <f>huishoudens!M12</f>
        <v>0</v>
      </c>
      <c r="O41" s="639">
        <f>huishoudens!N12</f>
        <v>0</v>
      </c>
      <c r="P41" s="639">
        <f>huishoudens!O12</f>
        <v>0</v>
      </c>
      <c r="Q41" s="714">
        <f>huishoudens!P12</f>
        <v>0</v>
      </c>
      <c r="R41" s="794">
        <f t="shared" ca="1" si="4"/>
        <v>39481.969278878838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455.10637657885354</v>
      </c>
      <c r="D43" s="639">
        <f ca="1">industrie!C22</f>
        <v>0</v>
      </c>
      <c r="E43" s="639">
        <f>industrie!D22</f>
        <v>396.87643311682359</v>
      </c>
      <c r="F43" s="639">
        <f>industrie!E22</f>
        <v>4.3518359949050502</v>
      </c>
      <c r="G43" s="639">
        <f>industrie!F22</f>
        <v>205.67951810231659</v>
      </c>
      <c r="H43" s="639">
        <f>industrie!G22</f>
        <v>0</v>
      </c>
      <c r="I43" s="639">
        <f>industrie!H22</f>
        <v>0</v>
      </c>
      <c r="J43" s="639">
        <f>industrie!I22</f>
        <v>0</v>
      </c>
      <c r="K43" s="639">
        <f>industrie!J22</f>
        <v>2.3660752544085524</v>
      </c>
      <c r="L43" s="639">
        <f>industrie!K22</f>
        <v>0</v>
      </c>
      <c r="M43" s="639">
        <f>industrie!L22</f>
        <v>0</v>
      </c>
      <c r="N43" s="639">
        <f>industrie!M22</f>
        <v>0</v>
      </c>
      <c r="O43" s="639">
        <f>industrie!N22</f>
        <v>0</v>
      </c>
      <c r="P43" s="639">
        <f>industrie!O22</f>
        <v>0</v>
      </c>
      <c r="Q43" s="714">
        <f>industrie!P22</f>
        <v>0</v>
      </c>
      <c r="R43" s="793">
        <f t="shared" ca="1" si="4"/>
        <v>1064.3802390473072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13986.676973930753</v>
      </c>
      <c r="D46" s="672">
        <f t="shared" ref="D46:Q46" ca="1" si="5">SUM(D39:D45)</f>
        <v>803.5865546218489</v>
      </c>
      <c r="E46" s="672">
        <f t="shared" ca="1" si="5"/>
        <v>27046.163255026553</v>
      </c>
      <c r="F46" s="672">
        <f t="shared" si="5"/>
        <v>384.40522809678919</v>
      </c>
      <c r="G46" s="672">
        <f t="shared" ca="1" si="5"/>
        <v>13548.357533892986</v>
      </c>
      <c r="H46" s="672">
        <f t="shared" si="5"/>
        <v>0</v>
      </c>
      <c r="I46" s="672">
        <f t="shared" si="5"/>
        <v>0</v>
      </c>
      <c r="J46" s="672">
        <f t="shared" si="5"/>
        <v>0</v>
      </c>
      <c r="K46" s="672">
        <f t="shared" si="5"/>
        <v>296.50652532373493</v>
      </c>
      <c r="L46" s="672">
        <f t="shared" si="5"/>
        <v>0</v>
      </c>
      <c r="M46" s="672">
        <f t="shared" ca="1" si="5"/>
        <v>0</v>
      </c>
      <c r="N46" s="672">
        <f t="shared" si="5"/>
        <v>0</v>
      </c>
      <c r="O46" s="672">
        <f t="shared" ca="1" si="5"/>
        <v>0</v>
      </c>
      <c r="P46" s="672">
        <f t="shared" si="5"/>
        <v>0</v>
      </c>
      <c r="Q46" s="672">
        <f t="shared" si="5"/>
        <v>0</v>
      </c>
      <c r="R46" s="672">
        <f ca="1">SUM(R39:R45)</f>
        <v>56065.696070892656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4.4859168552669555</v>
      </c>
      <c r="D49" s="639">
        <f ca="1">transport!C58</f>
        <v>0</v>
      </c>
      <c r="E49" s="639">
        <f>transport!D58</f>
        <v>0</v>
      </c>
      <c r="F49" s="639">
        <f>transport!E58</f>
        <v>0</v>
      </c>
      <c r="G49" s="639">
        <f>transport!F58</f>
        <v>0</v>
      </c>
      <c r="H49" s="639">
        <f>transport!G58</f>
        <v>1132.9191203554012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1137.4050372106681</v>
      </c>
    </row>
    <row r="50" spans="1:18">
      <c r="A50" s="769" t="s">
        <v>296</v>
      </c>
      <c r="B50" s="779"/>
      <c r="C50" s="948">
        <f ca="1">transport!B18</f>
        <v>2.077434824284107</v>
      </c>
      <c r="D50" s="948">
        <f>transport!C18</f>
        <v>0</v>
      </c>
      <c r="E50" s="948">
        <f>transport!D18</f>
        <v>2.424620550267564</v>
      </c>
      <c r="F50" s="948">
        <f>transport!E18</f>
        <v>201.34988182112716</v>
      </c>
      <c r="G50" s="948">
        <f>transport!F18</f>
        <v>0</v>
      </c>
      <c r="H50" s="948">
        <f>transport!G18</f>
        <v>46520.875496471184</v>
      </c>
      <c r="I50" s="948">
        <f>transport!H18</f>
        <v>7886.9635383000295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54613.690971966891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6.5633516795510625</v>
      </c>
      <c r="D52" s="672">
        <f t="shared" ref="D52:Q52" ca="1" si="6">SUM(D48:D51)</f>
        <v>0</v>
      </c>
      <c r="E52" s="672">
        <f t="shared" si="6"/>
        <v>2.424620550267564</v>
      </c>
      <c r="F52" s="672">
        <f t="shared" si="6"/>
        <v>201.34988182112716</v>
      </c>
      <c r="G52" s="672">
        <f t="shared" si="6"/>
        <v>0</v>
      </c>
      <c r="H52" s="672">
        <f t="shared" si="6"/>
        <v>47653.794616826584</v>
      </c>
      <c r="I52" s="672">
        <f t="shared" si="6"/>
        <v>7886.9635383000295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55751.096009177556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47.015876998573361</v>
      </c>
      <c r="D54" s="948">
        <f ca="1">+landbouw!C12</f>
        <v>0</v>
      </c>
      <c r="E54" s="948">
        <f>+landbouw!D12</f>
        <v>53.82775895259045</v>
      </c>
      <c r="F54" s="948">
        <f>+landbouw!E12</f>
        <v>0.49981995046432409</v>
      </c>
      <c r="G54" s="948">
        <f>+landbouw!F12</f>
        <v>198.61606326826643</v>
      </c>
      <c r="H54" s="948">
        <f>+landbouw!G12</f>
        <v>0</v>
      </c>
      <c r="I54" s="948">
        <f>+landbouw!H12</f>
        <v>0</v>
      </c>
      <c r="J54" s="948">
        <f>+landbouw!I12</f>
        <v>0</v>
      </c>
      <c r="K54" s="948">
        <f>+landbouw!J12</f>
        <v>7.8748868518329207</v>
      </c>
      <c r="L54" s="948">
        <f>+landbouw!K12</f>
        <v>0</v>
      </c>
      <c r="M54" s="948">
        <f>+landbouw!L12</f>
        <v>0</v>
      </c>
      <c r="N54" s="948">
        <f>+landbouw!M12</f>
        <v>0</v>
      </c>
      <c r="O54" s="948">
        <f>+landbouw!N12</f>
        <v>0</v>
      </c>
      <c r="P54" s="948">
        <f>+landbouw!O12</f>
        <v>0</v>
      </c>
      <c r="Q54" s="949">
        <f>+landbouw!P12</f>
        <v>0</v>
      </c>
      <c r="R54" s="671">
        <f ca="1">SUM(C54:Q54)</f>
        <v>307.83440602172749</v>
      </c>
    </row>
    <row r="55" spans="1:18" ht="15" thickBot="1">
      <c r="A55" s="769" t="s">
        <v>847</v>
      </c>
      <c r="B55" s="779"/>
      <c r="C55" s="948">
        <f ca="1">C25*'EF ele_warmte'!B12</f>
        <v>241.28931725976295</v>
      </c>
      <c r="D55" s="948"/>
      <c r="E55" s="948">
        <f>E25*EF_CO2_aardgas</f>
        <v>911.35481863538189</v>
      </c>
      <c r="F55" s="948"/>
      <c r="G55" s="948"/>
      <c r="H55" s="948"/>
      <c r="I55" s="948"/>
      <c r="J55" s="948"/>
      <c r="K55" s="948"/>
      <c r="L55" s="948"/>
      <c r="M55" s="948"/>
      <c r="N55" s="948"/>
      <c r="O55" s="948"/>
      <c r="P55" s="948"/>
      <c r="Q55" s="949"/>
      <c r="R55" s="671">
        <f ca="1">SUM(C55:Q55)</f>
        <v>1152.6441358951449</v>
      </c>
    </row>
    <row r="56" spans="1:18" ht="15.75" thickBot="1">
      <c r="A56" s="767" t="s">
        <v>848</v>
      </c>
      <c r="B56" s="780"/>
      <c r="C56" s="672">
        <f ca="1">SUM(C54:C55)</f>
        <v>288.30519425833631</v>
      </c>
      <c r="D56" s="672">
        <f t="shared" ref="D56:Q56" ca="1" si="7">SUM(D54:D55)</f>
        <v>0</v>
      </c>
      <c r="E56" s="672">
        <f t="shared" si="7"/>
        <v>965.18257758797233</v>
      </c>
      <c r="F56" s="672">
        <f t="shared" si="7"/>
        <v>0.49981995046432409</v>
      </c>
      <c r="G56" s="672">
        <f t="shared" si="7"/>
        <v>198.61606326826643</v>
      </c>
      <c r="H56" s="672">
        <f t="shared" si="7"/>
        <v>0</v>
      </c>
      <c r="I56" s="672">
        <f t="shared" si="7"/>
        <v>0</v>
      </c>
      <c r="J56" s="672">
        <f t="shared" si="7"/>
        <v>0</v>
      </c>
      <c r="K56" s="672">
        <f t="shared" si="7"/>
        <v>7.8748868518329207</v>
      </c>
      <c r="L56" s="672">
        <f t="shared" si="7"/>
        <v>0</v>
      </c>
      <c r="M56" s="672">
        <f t="shared" si="7"/>
        <v>0</v>
      </c>
      <c r="N56" s="672">
        <f t="shared" si="7"/>
        <v>0</v>
      </c>
      <c r="O56" s="672">
        <f t="shared" si="7"/>
        <v>0</v>
      </c>
      <c r="P56" s="672">
        <f t="shared" si="7"/>
        <v>0</v>
      </c>
      <c r="Q56" s="673">
        <f t="shared" si="7"/>
        <v>0</v>
      </c>
      <c r="R56" s="674">
        <f ca="1">SUM(R54:R55)</f>
        <v>1460.4785419168725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14281.545519868641</v>
      </c>
      <c r="D61" s="680">
        <f t="shared" ref="D61:Q61" ca="1" si="8">D46+D52+D56</f>
        <v>803.5865546218489</v>
      </c>
      <c r="E61" s="680">
        <f t="shared" ca="1" si="8"/>
        <v>28013.770453164794</v>
      </c>
      <c r="F61" s="680">
        <f t="shared" si="8"/>
        <v>586.25492986838071</v>
      </c>
      <c r="G61" s="680">
        <f t="shared" ca="1" si="8"/>
        <v>13746.973597161252</v>
      </c>
      <c r="H61" s="680">
        <f t="shared" si="8"/>
        <v>47653.794616826584</v>
      </c>
      <c r="I61" s="680">
        <f t="shared" si="8"/>
        <v>7886.9635383000295</v>
      </c>
      <c r="J61" s="680">
        <f t="shared" si="8"/>
        <v>0</v>
      </c>
      <c r="K61" s="680">
        <f t="shared" si="8"/>
        <v>304.38141217556785</v>
      </c>
      <c r="L61" s="680">
        <f t="shared" si="8"/>
        <v>0</v>
      </c>
      <c r="M61" s="680">
        <f t="shared" ca="1" si="8"/>
        <v>0</v>
      </c>
      <c r="N61" s="680">
        <f t="shared" si="8"/>
        <v>0</v>
      </c>
      <c r="O61" s="680">
        <f t="shared" ca="1" si="8"/>
        <v>0</v>
      </c>
      <c r="P61" s="680">
        <f t="shared" si="8"/>
        <v>0</v>
      </c>
      <c r="Q61" s="680">
        <f t="shared" si="8"/>
        <v>0</v>
      </c>
      <c r="R61" s="680">
        <f ca="1">R46+R52+R56</f>
        <v>113277.27062198709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0.21086374740079344</v>
      </c>
      <c r="D63" s="724">
        <f t="shared" ca="1" si="9"/>
        <v>0.23764705882352946</v>
      </c>
      <c r="E63" s="950">
        <f t="shared" ca="1" si="9"/>
        <v>0.2020000000000001</v>
      </c>
      <c r="F63" s="724">
        <f t="shared" si="9"/>
        <v>0.22700000000000006</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3284.7043729311349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2367</v>
      </c>
      <c r="D76" s="960">
        <f>'lokale energieproductie'!C8</f>
        <v>2784.705882352941</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562.51058823529411</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3284.7043729311349</v>
      </c>
      <c r="C78" s="695">
        <f>SUM(C72:C77)</f>
        <v>2367</v>
      </c>
      <c r="D78" s="696">
        <f t="shared" ref="D78:H78" si="10">SUM(D76:D77)</f>
        <v>2784.705882352941</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562.51058823529411</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3381.4285714285716</v>
      </c>
      <c r="D87" s="717">
        <f>'lokale energieproductie'!C17</f>
        <v>3978.1512605042021</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803.5865546218489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3381.4285714285716</v>
      </c>
      <c r="D90" s="695">
        <f t="shared" ref="D90:H90" si="12">SUM(D87:D89)</f>
        <v>3978.1512605042021</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803.5865546218489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35948.852280828542</v>
      </c>
      <c r="C4" s="447">
        <f>huishoudens!C8</f>
        <v>0</v>
      </c>
      <c r="D4" s="447">
        <f>huishoudens!D8</f>
        <v>94256.014728004229</v>
      </c>
      <c r="E4" s="447">
        <f>huishoudens!E8</f>
        <v>1502.058300970014</v>
      </c>
      <c r="F4" s="447">
        <f>huishoudens!F8</f>
        <v>45793.396676926583</v>
      </c>
      <c r="G4" s="447">
        <f>huishoudens!G8</f>
        <v>0</v>
      </c>
      <c r="H4" s="447">
        <f>huishoudens!H8</f>
        <v>0</v>
      </c>
      <c r="I4" s="447">
        <f>huishoudens!I8</f>
        <v>0</v>
      </c>
      <c r="J4" s="447">
        <f>huishoudens!J8</f>
        <v>830.90522618453792</v>
      </c>
      <c r="K4" s="447">
        <f>huishoudens!K8</f>
        <v>0</v>
      </c>
      <c r="L4" s="447">
        <f>huishoudens!L8</f>
        <v>0</v>
      </c>
      <c r="M4" s="447">
        <f>huishoudens!M8</f>
        <v>0</v>
      </c>
      <c r="N4" s="447">
        <f>huishoudens!N8</f>
        <v>11229.189589878129</v>
      </c>
      <c r="O4" s="447">
        <f>huishoudens!O8</f>
        <v>112.56000000000002</v>
      </c>
      <c r="P4" s="448">
        <f>huishoudens!P8</f>
        <v>381.33333333333337</v>
      </c>
      <c r="Q4" s="449">
        <f>SUM(B4:P4)</f>
        <v>190054.31013612539</v>
      </c>
    </row>
    <row r="5" spans="1:17">
      <c r="A5" s="446" t="s">
        <v>149</v>
      </c>
      <c r="B5" s="447">
        <f ca="1">tertiair!B16</f>
        <v>26864.650996386987</v>
      </c>
      <c r="C5" s="447">
        <f ca="1">tertiair!C16</f>
        <v>3381.4285714285716</v>
      </c>
      <c r="D5" s="447">
        <f ca="1">tertiair!D16</f>
        <v>37671.147756697377</v>
      </c>
      <c r="E5" s="447">
        <f>tertiair!E16</f>
        <v>172.18571709995996</v>
      </c>
      <c r="F5" s="447">
        <f ca="1">tertiair!F16</f>
        <v>4179.1801612407153</v>
      </c>
      <c r="G5" s="447">
        <f>tertiair!G16</f>
        <v>0</v>
      </c>
      <c r="H5" s="447">
        <f>tertiair!H16</f>
        <v>0</v>
      </c>
      <c r="I5" s="447">
        <f>tertiair!I16</f>
        <v>0</v>
      </c>
      <c r="J5" s="447">
        <f>tertiair!J16</f>
        <v>0</v>
      </c>
      <c r="K5" s="447">
        <f>tertiair!K16</f>
        <v>0</v>
      </c>
      <c r="L5" s="447">
        <f ca="1">tertiair!L16</f>
        <v>0</v>
      </c>
      <c r="M5" s="447">
        <f>tertiair!M16</f>
        <v>0</v>
      </c>
      <c r="N5" s="447">
        <f ca="1">tertiair!N16</f>
        <v>820.8910690800501</v>
      </c>
      <c r="O5" s="447">
        <f>tertiair!O16</f>
        <v>1.5633333333333335</v>
      </c>
      <c r="P5" s="448">
        <f>tertiair!P16</f>
        <v>19.066666666666666</v>
      </c>
      <c r="Q5" s="446">
        <f t="shared" ref="Q5:Q14" ca="1" si="0">SUM(B5:P5)</f>
        <v>73110.114271933664</v>
      </c>
    </row>
    <row r="6" spans="1:17">
      <c r="A6" s="446" t="s">
        <v>187</v>
      </c>
      <c r="B6" s="447">
        <f>'openbare verlichting'!B8</f>
        <v>1358.6020000000001</v>
      </c>
      <c r="C6" s="447"/>
      <c r="D6" s="447"/>
      <c r="E6" s="447"/>
      <c r="F6" s="447"/>
      <c r="G6" s="447"/>
      <c r="H6" s="447"/>
      <c r="I6" s="447"/>
      <c r="J6" s="447"/>
      <c r="K6" s="447"/>
      <c r="L6" s="447"/>
      <c r="M6" s="447"/>
      <c r="N6" s="447"/>
      <c r="O6" s="447"/>
      <c r="P6" s="448"/>
      <c r="Q6" s="446">
        <f t="shared" si="0"/>
        <v>1358.6020000000001</v>
      </c>
    </row>
    <row r="7" spans="1:17">
      <c r="A7" s="446" t="s">
        <v>105</v>
      </c>
      <c r="B7" s="447">
        <f>landbouw!B8</f>
        <v>222.96804253037021</v>
      </c>
      <c r="C7" s="447">
        <f>landbouw!C8</f>
        <v>0</v>
      </c>
      <c r="D7" s="447">
        <f>landbouw!D8</f>
        <v>266.47405422074479</v>
      </c>
      <c r="E7" s="447">
        <f>landbouw!E8</f>
        <v>2.2018500020454805</v>
      </c>
      <c r="F7" s="447">
        <f>landbouw!F8</f>
        <v>743.88038677253337</v>
      </c>
      <c r="G7" s="447">
        <f>landbouw!G8</f>
        <v>0</v>
      </c>
      <c r="H7" s="447">
        <f>landbouw!H8</f>
        <v>0</v>
      </c>
      <c r="I7" s="447">
        <f>landbouw!I8</f>
        <v>0</v>
      </c>
      <c r="J7" s="447">
        <f>landbouw!J8</f>
        <v>22.245443084273788</v>
      </c>
      <c r="K7" s="447">
        <f>landbouw!K8</f>
        <v>0</v>
      </c>
      <c r="L7" s="447">
        <f>landbouw!L8</f>
        <v>0</v>
      </c>
      <c r="M7" s="447">
        <f>landbouw!M8</f>
        <v>0</v>
      </c>
      <c r="N7" s="447">
        <f>landbouw!N8</f>
        <v>0</v>
      </c>
      <c r="O7" s="447">
        <f>landbouw!O8</f>
        <v>0</v>
      </c>
      <c r="P7" s="448">
        <f>landbouw!P8</f>
        <v>0</v>
      </c>
      <c r="Q7" s="446">
        <f t="shared" si="0"/>
        <v>1257.7697766099677</v>
      </c>
    </row>
    <row r="8" spans="1:17">
      <c r="A8" s="446" t="s">
        <v>640</v>
      </c>
      <c r="B8" s="447">
        <f>industrie!B18</f>
        <v>2158.2959716343398</v>
      </c>
      <c r="C8" s="447">
        <f>industrie!C18</f>
        <v>0</v>
      </c>
      <c r="D8" s="447">
        <f>industrie!D18</f>
        <v>1964.7348174100177</v>
      </c>
      <c r="E8" s="447">
        <f>industrie!E18</f>
        <v>19.171083677995817</v>
      </c>
      <c r="F8" s="447">
        <f>industrie!F18</f>
        <v>770.33527379144789</v>
      </c>
      <c r="G8" s="447">
        <f>industrie!G18</f>
        <v>0</v>
      </c>
      <c r="H8" s="447">
        <f>industrie!H18</f>
        <v>0</v>
      </c>
      <c r="I8" s="447">
        <f>industrie!I18</f>
        <v>0</v>
      </c>
      <c r="J8" s="447">
        <f>industrie!J18</f>
        <v>6.6838284022840462</v>
      </c>
      <c r="K8" s="447">
        <f>industrie!K18</f>
        <v>0</v>
      </c>
      <c r="L8" s="447">
        <f>industrie!L18</f>
        <v>0</v>
      </c>
      <c r="M8" s="447">
        <f>industrie!M18</f>
        <v>0</v>
      </c>
      <c r="N8" s="447">
        <f>industrie!N18</f>
        <v>103.60521986089391</v>
      </c>
      <c r="O8" s="447">
        <f>industrie!O18</f>
        <v>0</v>
      </c>
      <c r="P8" s="448">
        <f>industrie!P18</f>
        <v>0</v>
      </c>
      <c r="Q8" s="446">
        <f t="shared" si="0"/>
        <v>5022.8261947769797</v>
      </c>
    </row>
    <row r="9" spans="1:17" s="452" customFormat="1">
      <c r="A9" s="450" t="s">
        <v>560</v>
      </c>
      <c r="B9" s="451">
        <f>transport!B14</f>
        <v>9.8520245888236051</v>
      </c>
      <c r="C9" s="451">
        <f>transport!C14</f>
        <v>0</v>
      </c>
      <c r="D9" s="451">
        <f>transport!D14</f>
        <v>12.003072031027543</v>
      </c>
      <c r="E9" s="451">
        <f>transport!E14</f>
        <v>887.00388467456889</v>
      </c>
      <c r="F9" s="451">
        <f>transport!F14</f>
        <v>0</v>
      </c>
      <c r="G9" s="451">
        <f>transport!G14</f>
        <v>174235.4887508284</v>
      </c>
      <c r="H9" s="451">
        <f>transport!H14</f>
        <v>31674.55236265072</v>
      </c>
      <c r="I9" s="451">
        <f>transport!I14</f>
        <v>0</v>
      </c>
      <c r="J9" s="451">
        <f>transport!J14</f>
        <v>0</v>
      </c>
      <c r="K9" s="451">
        <f>transport!K14</f>
        <v>0</v>
      </c>
      <c r="L9" s="451">
        <f>transport!L14</f>
        <v>0</v>
      </c>
      <c r="M9" s="451">
        <f>transport!M14</f>
        <v>9203.5912761233358</v>
      </c>
      <c r="N9" s="451">
        <f>transport!N14</f>
        <v>0</v>
      </c>
      <c r="O9" s="451">
        <f>transport!O14</f>
        <v>0</v>
      </c>
      <c r="P9" s="451">
        <f>transport!P14</f>
        <v>0</v>
      </c>
      <c r="Q9" s="450">
        <f>SUM(B9:P9)</f>
        <v>216022.49137089687</v>
      </c>
    </row>
    <row r="10" spans="1:17">
      <c r="A10" s="446" t="s">
        <v>550</v>
      </c>
      <c r="B10" s="447">
        <f>transport!B54</f>
        <v>21.274007080697814</v>
      </c>
      <c r="C10" s="447">
        <f>transport!C54</f>
        <v>0</v>
      </c>
      <c r="D10" s="447">
        <f>transport!D54</f>
        <v>0</v>
      </c>
      <c r="E10" s="447">
        <f>transport!E54</f>
        <v>0</v>
      </c>
      <c r="F10" s="447">
        <f>transport!F54</f>
        <v>0</v>
      </c>
      <c r="G10" s="447">
        <f>transport!G54</f>
        <v>4243.1427728666713</v>
      </c>
      <c r="H10" s="447">
        <f>transport!H54</f>
        <v>0</v>
      </c>
      <c r="I10" s="447">
        <f>transport!I54</f>
        <v>0</v>
      </c>
      <c r="J10" s="447">
        <f>transport!J54</f>
        <v>0</v>
      </c>
      <c r="K10" s="447">
        <f>transport!K54</f>
        <v>0</v>
      </c>
      <c r="L10" s="447">
        <f>transport!L54</f>
        <v>0</v>
      </c>
      <c r="M10" s="447">
        <f>transport!M54</f>
        <v>187.54239143151466</v>
      </c>
      <c r="N10" s="447">
        <f>transport!N54</f>
        <v>0</v>
      </c>
      <c r="O10" s="447">
        <f>transport!O54</f>
        <v>0</v>
      </c>
      <c r="P10" s="448">
        <f>transport!P54</f>
        <v>0</v>
      </c>
      <c r="Q10" s="446">
        <f t="shared" si="0"/>
        <v>4451.9591713788832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1144.2901884937999</v>
      </c>
      <c r="C14" s="454"/>
      <c r="D14" s="454">
        <f>'SEAP template'!E25</f>
        <v>4511.6575179969395</v>
      </c>
      <c r="E14" s="454"/>
      <c r="F14" s="454"/>
      <c r="G14" s="454"/>
      <c r="H14" s="454"/>
      <c r="I14" s="454"/>
      <c r="J14" s="454"/>
      <c r="K14" s="454"/>
      <c r="L14" s="454"/>
      <c r="M14" s="454"/>
      <c r="N14" s="454"/>
      <c r="O14" s="454"/>
      <c r="P14" s="455"/>
      <c r="Q14" s="446">
        <f t="shared" si="0"/>
        <v>5655.9477064907396</v>
      </c>
    </row>
    <row r="15" spans="1:17" s="459" customFormat="1">
      <c r="A15" s="456" t="s">
        <v>554</v>
      </c>
      <c r="B15" s="457">
        <f ca="1">SUM(B4:B14)</f>
        <v>67728.785511543567</v>
      </c>
      <c r="C15" s="457">
        <f t="shared" ref="C15:Q15" ca="1" si="1">SUM(C4:C14)</f>
        <v>3381.4285714285716</v>
      </c>
      <c r="D15" s="457">
        <f t="shared" ca="1" si="1"/>
        <v>138682.03194636031</v>
      </c>
      <c r="E15" s="457">
        <f t="shared" si="1"/>
        <v>2582.620836424584</v>
      </c>
      <c r="F15" s="457">
        <f t="shared" ca="1" si="1"/>
        <v>51486.79249873128</v>
      </c>
      <c r="G15" s="457">
        <f t="shared" si="1"/>
        <v>178478.63152369508</v>
      </c>
      <c r="H15" s="457">
        <f t="shared" si="1"/>
        <v>31674.55236265072</v>
      </c>
      <c r="I15" s="457">
        <f t="shared" si="1"/>
        <v>0</v>
      </c>
      <c r="J15" s="457">
        <f t="shared" si="1"/>
        <v>859.83449767109573</v>
      </c>
      <c r="K15" s="457">
        <f t="shared" si="1"/>
        <v>0</v>
      </c>
      <c r="L15" s="457">
        <f t="shared" ca="1" si="1"/>
        <v>0</v>
      </c>
      <c r="M15" s="457">
        <f t="shared" si="1"/>
        <v>9391.13366755485</v>
      </c>
      <c r="N15" s="457">
        <f t="shared" ca="1" si="1"/>
        <v>12153.685878819073</v>
      </c>
      <c r="O15" s="457">
        <f t="shared" si="1"/>
        <v>114.12333333333335</v>
      </c>
      <c r="P15" s="457">
        <f t="shared" si="1"/>
        <v>400.40000000000003</v>
      </c>
      <c r="Q15" s="457">
        <f t="shared" ca="1" si="1"/>
        <v>496934.02062821249</v>
      </c>
    </row>
    <row r="17" spans="1:17">
      <c r="A17" s="460" t="s">
        <v>555</v>
      </c>
      <c r="B17" s="729">
        <f ca="1">huishoudens!B10</f>
        <v>0.21086374740079347</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7580.3097066930677</v>
      </c>
      <c r="C22" s="447">
        <f t="shared" ref="C22:C32" ca="1" si="3">C4*$C$17</f>
        <v>0</v>
      </c>
      <c r="D22" s="447">
        <f t="shared" ref="D22:D32" si="4">D4*$D$17</f>
        <v>19039.714975056857</v>
      </c>
      <c r="E22" s="447">
        <f t="shared" ref="E22:E32" si="5">E4*$E$17</f>
        <v>340.9672343201932</v>
      </c>
      <c r="F22" s="447">
        <f t="shared" ref="F22:F32" si="6">F4*$F$17</f>
        <v>12226.836912739398</v>
      </c>
      <c r="G22" s="447">
        <f t="shared" ref="G22:G32" si="7">G4*$G$17</f>
        <v>0</v>
      </c>
      <c r="H22" s="447">
        <f t="shared" ref="H22:H32" si="8">H4*$H$17</f>
        <v>0</v>
      </c>
      <c r="I22" s="447">
        <f t="shared" ref="I22:I32" si="9">I4*$I$17</f>
        <v>0</v>
      </c>
      <c r="J22" s="447">
        <f t="shared" ref="J22:J32" si="10">J4*$J$17</f>
        <v>294.14045006932639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39481.969278878838</v>
      </c>
    </row>
    <row r="23" spans="1:17">
      <c r="A23" s="446" t="s">
        <v>149</v>
      </c>
      <c r="B23" s="447">
        <f t="shared" ca="1" si="2"/>
        <v>5664.7809817126199</v>
      </c>
      <c r="C23" s="447">
        <f t="shared" ca="1" si="3"/>
        <v>803.5865546218489</v>
      </c>
      <c r="D23" s="447">
        <f t="shared" ca="1" si="4"/>
        <v>7609.5718468528703</v>
      </c>
      <c r="E23" s="447">
        <f t="shared" si="5"/>
        <v>39.086157781690915</v>
      </c>
      <c r="F23" s="447">
        <f t="shared" ca="1" si="6"/>
        <v>1115.8411030512711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15232.8666440203</v>
      </c>
    </row>
    <row r="24" spans="1:17">
      <c r="A24" s="446" t="s">
        <v>187</v>
      </c>
      <c r="B24" s="447">
        <f t="shared" ca="1" si="2"/>
        <v>286.47990894621284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286.47990894621284</v>
      </c>
    </row>
    <row r="25" spans="1:17">
      <c r="A25" s="446" t="s">
        <v>105</v>
      </c>
      <c r="B25" s="447">
        <f t="shared" ca="1" si="2"/>
        <v>47.015876998573361</v>
      </c>
      <c r="C25" s="447">
        <f t="shared" ca="1" si="3"/>
        <v>0</v>
      </c>
      <c r="D25" s="447">
        <f t="shared" si="4"/>
        <v>53.82775895259045</v>
      </c>
      <c r="E25" s="447">
        <f t="shared" si="5"/>
        <v>0.49981995046432409</v>
      </c>
      <c r="F25" s="447">
        <f t="shared" si="6"/>
        <v>198.61606326826643</v>
      </c>
      <c r="G25" s="447">
        <f t="shared" si="7"/>
        <v>0</v>
      </c>
      <c r="H25" s="447">
        <f t="shared" si="8"/>
        <v>0</v>
      </c>
      <c r="I25" s="447">
        <f t="shared" si="9"/>
        <v>0</v>
      </c>
      <c r="J25" s="447">
        <f t="shared" si="10"/>
        <v>7.8748868518329207</v>
      </c>
      <c r="K25" s="447">
        <f t="shared" si="11"/>
        <v>0</v>
      </c>
      <c r="L25" s="447">
        <f t="shared" si="12"/>
        <v>0</v>
      </c>
      <c r="M25" s="447">
        <f t="shared" si="13"/>
        <v>0</v>
      </c>
      <c r="N25" s="447">
        <f t="shared" si="14"/>
        <v>0</v>
      </c>
      <c r="O25" s="447">
        <f t="shared" si="15"/>
        <v>0</v>
      </c>
      <c r="P25" s="448">
        <f t="shared" si="16"/>
        <v>0</v>
      </c>
      <c r="Q25" s="446">
        <f t="shared" ca="1" si="17"/>
        <v>307.83440602172749</v>
      </c>
    </row>
    <row r="26" spans="1:17">
      <c r="A26" s="446" t="s">
        <v>640</v>
      </c>
      <c r="B26" s="447">
        <f t="shared" ca="1" si="2"/>
        <v>455.10637657885354</v>
      </c>
      <c r="C26" s="447">
        <f t="shared" ca="1" si="3"/>
        <v>0</v>
      </c>
      <c r="D26" s="447">
        <f t="shared" si="4"/>
        <v>396.87643311682359</v>
      </c>
      <c r="E26" s="447">
        <f t="shared" si="5"/>
        <v>4.3518359949050502</v>
      </c>
      <c r="F26" s="447">
        <f t="shared" si="6"/>
        <v>205.67951810231659</v>
      </c>
      <c r="G26" s="447">
        <f t="shared" si="7"/>
        <v>0</v>
      </c>
      <c r="H26" s="447">
        <f t="shared" si="8"/>
        <v>0</v>
      </c>
      <c r="I26" s="447">
        <f t="shared" si="9"/>
        <v>0</v>
      </c>
      <c r="J26" s="447">
        <f t="shared" si="10"/>
        <v>2.3660752544085524</v>
      </c>
      <c r="K26" s="447">
        <f t="shared" si="11"/>
        <v>0</v>
      </c>
      <c r="L26" s="447">
        <f t="shared" si="12"/>
        <v>0</v>
      </c>
      <c r="M26" s="447">
        <f t="shared" si="13"/>
        <v>0</v>
      </c>
      <c r="N26" s="447">
        <f t="shared" si="14"/>
        <v>0</v>
      </c>
      <c r="O26" s="447">
        <f t="shared" si="15"/>
        <v>0</v>
      </c>
      <c r="P26" s="448">
        <f t="shared" si="16"/>
        <v>0</v>
      </c>
      <c r="Q26" s="446">
        <f t="shared" ca="1" si="17"/>
        <v>1064.3802390473072</v>
      </c>
    </row>
    <row r="27" spans="1:17" s="452" customFormat="1">
      <c r="A27" s="450" t="s">
        <v>560</v>
      </c>
      <c r="B27" s="723">
        <f t="shared" ca="1" si="2"/>
        <v>2.077434824284107</v>
      </c>
      <c r="C27" s="451">
        <f t="shared" ca="1" si="3"/>
        <v>0</v>
      </c>
      <c r="D27" s="451">
        <f t="shared" si="4"/>
        <v>2.424620550267564</v>
      </c>
      <c r="E27" s="451">
        <f t="shared" si="5"/>
        <v>201.34988182112716</v>
      </c>
      <c r="F27" s="451">
        <f t="shared" si="6"/>
        <v>0</v>
      </c>
      <c r="G27" s="451">
        <f t="shared" si="7"/>
        <v>46520.875496471184</v>
      </c>
      <c r="H27" s="451">
        <f t="shared" si="8"/>
        <v>7886.9635383000295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54613.690971966891</v>
      </c>
    </row>
    <row r="28" spans="1:17">
      <c r="A28" s="446" t="s">
        <v>550</v>
      </c>
      <c r="B28" s="447">
        <f t="shared" ca="1" si="2"/>
        <v>4.4859168552669555</v>
      </c>
      <c r="C28" s="447">
        <f t="shared" ca="1" si="3"/>
        <v>0</v>
      </c>
      <c r="D28" s="447">
        <f t="shared" si="4"/>
        <v>0</v>
      </c>
      <c r="E28" s="447">
        <f t="shared" si="5"/>
        <v>0</v>
      </c>
      <c r="F28" s="447">
        <f t="shared" si="6"/>
        <v>0</v>
      </c>
      <c r="G28" s="447">
        <f t="shared" si="7"/>
        <v>1132.9191203554012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1137.4050372106681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241.28931725976295</v>
      </c>
      <c r="C32" s="447">
        <f t="shared" ca="1" si="3"/>
        <v>0</v>
      </c>
      <c r="D32" s="447">
        <f t="shared" si="4"/>
        <v>911.35481863538189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1152.6441358951449</v>
      </c>
    </row>
    <row r="33" spans="1:17" s="459" customFormat="1">
      <c r="A33" s="456" t="s">
        <v>554</v>
      </c>
      <c r="B33" s="457">
        <f ca="1">SUM(B22:B32)</f>
        <v>14281.545519868641</v>
      </c>
      <c r="C33" s="457">
        <f t="shared" ref="C33:Q33" ca="1" si="18">SUM(C22:C32)</f>
        <v>803.5865546218489</v>
      </c>
      <c r="D33" s="457">
        <f t="shared" ca="1" si="18"/>
        <v>28013.770453164791</v>
      </c>
      <c r="E33" s="457">
        <f t="shared" si="18"/>
        <v>586.25492986838071</v>
      </c>
      <c r="F33" s="457">
        <f t="shared" ca="1" si="18"/>
        <v>13746.973597161252</v>
      </c>
      <c r="G33" s="457">
        <f t="shared" si="18"/>
        <v>47653.794616826584</v>
      </c>
      <c r="H33" s="457">
        <f t="shared" si="18"/>
        <v>7886.9635383000295</v>
      </c>
      <c r="I33" s="457">
        <f t="shared" si="18"/>
        <v>0</v>
      </c>
      <c r="J33" s="457">
        <f t="shared" si="18"/>
        <v>304.38141217556785</v>
      </c>
      <c r="K33" s="457">
        <f t="shared" si="18"/>
        <v>0</v>
      </c>
      <c r="L33" s="457">
        <f t="shared" ca="1" si="18"/>
        <v>0</v>
      </c>
      <c r="M33" s="457">
        <f t="shared" si="18"/>
        <v>0</v>
      </c>
      <c r="N33" s="457">
        <f t="shared" ca="1" si="18"/>
        <v>0</v>
      </c>
      <c r="O33" s="457">
        <f t="shared" si="18"/>
        <v>0</v>
      </c>
      <c r="P33" s="457">
        <f t="shared" si="18"/>
        <v>0</v>
      </c>
      <c r="Q33" s="457">
        <f t="shared" ca="1" si="18"/>
        <v>113277.27062198709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3284.7043729311349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2367</v>
      </c>
      <c r="D8" s="977">
        <f>'SEAP template'!D76</f>
        <v>2784.705882352941</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562.51058823529411</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3284.7043729311349</v>
      </c>
      <c r="C10" s="981">
        <f>SUM(C4:C9)</f>
        <v>2367</v>
      </c>
      <c r="D10" s="981">
        <f t="shared" ref="D10:H10" si="0">SUM(D8:D9)</f>
        <v>2784.705882352941</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562.51058823529411</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0.21086374740079347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3381.4285714285716</v>
      </c>
      <c r="D17" s="978">
        <f>'SEAP template'!D87</f>
        <v>3978.1512605042021</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803.5865546218489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3381.4285714285716</v>
      </c>
      <c r="D20" s="981">
        <f t="shared" ref="D20:H20" si="2">SUM(D17:D19)</f>
        <v>3978.1512605042021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803.5865546218489</v>
      </c>
    </row>
    <row r="22" spans="1:16">
      <c r="A22" s="460" t="s">
        <v>867</v>
      </c>
      <c r="B22" s="729" t="s">
        <v>861</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0.21086374740079347</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2022-07-26T12:26:11Z</dcterms:modified>
</cp:coreProperties>
</file>