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EEC2B1B-5194-4FCD-B18D-E7473C9111D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<sst xmlns="http://schemas.openxmlformats.org/spreadsheetml/2006/main" count="2497" uniqueCount="945">
  <si>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</si>
  <si>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</si>
  <si>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</si>
  <si>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</si>
  <si>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</si>
  <si>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</si>
  <si>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</si>
  <si>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</si>
  <si>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</si>
  <si>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</si>
  <si>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</si>
  <si>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</si>
  <si>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</si>
  <si>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</si>
  <si>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</si>
  <si>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</si>
  <si>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</si>
  <si>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</si>
  <si>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</si>
  <si>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</si>
  <si>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</si>
  <si>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</si>
  <si>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</si>
  <si>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</si>
  <si>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</si>
  <si>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</si>
  <si>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</si>
  <si>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</si>
  <si>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</si>
  <si>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</si>
  <si>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</si>
  <si>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</si>
  <si>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</si>
  <si>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</si>
  <si>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</si>
  <si>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</si>
  <si>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</si>
  <si>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</si>
  <si>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</si>
  <si>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</si>
  <si>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</si>
  <si>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</si>
  <si>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</si>
  <si>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</si>
  <si>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</si>
  <si>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</si>
  <si>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</si>
  <si>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</si>
  <si>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</si>
  <si>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</si>
  <si>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</si>
  <si>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</si>
  <si>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</si>
  <si>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</si>
  <si>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</si>
  <si>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</si>
  <si>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</si>
  <si>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</si>
  <si>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</si>
  <si>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</si>
  <si>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</si>
  <si>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</si>
  <si>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</si>
  <si>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</si>
  <si>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</si>
  <si>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</si>
  <si>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</si>
  <si>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</si>
  <si>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</si>
  <si>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</si>
  <si>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</si>
  <si>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</si>
  <si>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</si>
  <si>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</si>
  <si>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</si>
  <si>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</si>
  <si>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</si>
  <si>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</si>
  <si>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</si>
  <si>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</si>
  <si>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</si>
  <si>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</si>
  <si>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</si>
  <si>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</si>
  <si>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</si>
  <si>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</si>
  <si>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</si>
  <si>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</si>
  <si>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</si>
  <si>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</si>
  <si>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</si>
  <si>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</si>
  <si>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</si>
  <si>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</si>
  <si>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</si>
  <si>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</si>
  <si>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</si>
  <si>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</si>
  <si>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</si>
  <si>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</si>
  <si>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</si>
  <si>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</si>
  <si>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</si>
  <si>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</si>
  <si>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</si>
  <si>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</si>
  <si>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</si>
  <si>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</si>
  <si>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</si>
  <si>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</si>
  <si>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</si>
  <si>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</si>
  <si>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</si>
  <si>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</si>
  <si>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</si>
  <si>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</si>
  <si>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</si>
  <si>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</si>
  <si>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</si>
  <si>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</si>
  <si>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</si>
  <si>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</si>
  <si>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</si>
  <si>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</si>
  <si>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</si>
  <si>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</si>
  <si>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</si>
  <si>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</si>
  <si>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</si>
  <si>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</si>
  <si>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</si>
  <si>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</si>
  <si>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</si>
  <si>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</si>
  <si>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</si>
  <si>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</si>
  <si>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</si>
  <si>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</si>
  <si>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</si>
  <si>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</si>
  <si>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</si>
  <si>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</si>
  <si>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</si>
  <si>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</si>
  <si>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</si>
  <si>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</si>
  <si>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</si>
  <si>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</si>
  <si>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</si>
  <si>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</si>
  <si>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</si>
  <si>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</si>
  <si>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</si>
  <si>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</si>
  <si>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</si>
  <si>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</si>
  <si>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</si>
  <si>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</si>
  <si>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</si>
  <si>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</si>
  <si>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</si>
  <si>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</si>
  <si>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</si>
  <si>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</si>
  <si>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</si>
  <si>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</si>
  <si>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</si>
  <si>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</si>
  <si>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</si>
  <si>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</si>
  <si>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</si>
  <si>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</si>
  <si>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</si>
  <si>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</si>
  <si>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</si>
  <si>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</si>
  <si>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</si>
  <si>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</si>
  <si>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</si>
  <si>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</si>
  <si>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</si>
  <si>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</si>
  <si>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</si>
  <si>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</si>
  <si>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</si>
  <si>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</si>
  <si>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</si>
  <si>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</si>
  <si>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</si>
  <si>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</si>
  <si>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</si>
  <si>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</si>
  <si>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</si>
  <si>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</si>
  <si>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</si>
  <si>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</si>
  <si>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</si>
  <si>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</si>
  <si>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</si>
  <si>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</si>
  <si>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</si>
  <si>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</si>
  <si>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</si>
  <si>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</si>
  <si>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</si>
  <si>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</si>
  <si>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</si>
  <si>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</si>
  <si>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</si>
  <si>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</si>
  <si>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</si>
  <si>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</si>
  <si>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</si>
  <si>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</si>
  <si>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</si>
  <si>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</si>
  <si>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</si>
  <si>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</si>
  <si>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</si>
  <si>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</si>
  <si>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</si>
  <si>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</si>
  <si>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</si>
  <si>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</si>
  <si>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</si>
  <si>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</si>
  <si>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</si>
  <si>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</si>
  <si>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</si>
  <si>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</si>
  <si>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</si>
  <si>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</si>
  <si>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</si>
  <si>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</si>
  <si>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</si>
  <si>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</si>
  <si>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</si>
  <si>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</si>
  <si>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</si>
  <si>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</si>
  <si>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</si>
  <si>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</si>
  <si>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</si>
  <si>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</si>
  <si>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</si>
  <si>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</si>
  <si>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</si>
  <si>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</si>
  <si>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</si>
  <si>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</si>
  <si>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</si>
  <si>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</si>
  <si>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</si>
  <si>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</si>
  <si>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</si>
  <si>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</si>
  <si>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</si>
  <si>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</si>
  <si>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</si>
  <si>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</si>
  <si>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</si>
  <si>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</si>
  <si>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</si>
  <si>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</si>
  <si>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</si>
  <si>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</si>
  <si>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</si>
  <si>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</si>
  <si>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</si>
  <si>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</si>
  <si>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</si>
  <si>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</si>
  <si>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</si>
  <si>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</si>
  <si>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</si>
  <si>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</si>
  <si>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</si>
  <si>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</si>
  <si>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</si>
  <si>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</si>
  <si>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</si>
  <si>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</si>
  <si>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</si>
  <si>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</si>
  <si>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</si>
  <si>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</si>
  <si>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</si>
  <si>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</si>
  <si>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</si>
  <si>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</si>
  <si>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</si>
  <si>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</si>
  <si>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</si>
  <si>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</si>
  <si>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</si>
  <si>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</si>
  <si>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</si>
  <si>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</si>
  <si>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</si>
  <si>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</si>
  <si>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</si>
  <si>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</si>
  <si>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</si>
  <si>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</si>
  <si>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</si>
  <si>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</si>
  <si>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</si>
  <si>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</si>
  <si>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</si>
  <si>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</si>
  <si>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</si>
  <si>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</si>
  <si>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</si>
  <si>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</si>
  <si>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</si>
  <si>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</si>
  <si>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</si>
  <si>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</si>
  <si>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</si>
  <si>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</si>
  <si>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</si>
  <si>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</si>
  <si>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</si>
  <si>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</si>
  <si>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</si>
  <si>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</si>
  <si>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</si>
  <si>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</si>
  <si>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</si>
  <si>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</si>
  <si>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</si>
  <si>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</si>
  <si>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</si>
  <si>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</si>
  <si>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</si>
  <si>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</si>
  <si>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</si>
  <si>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</si>
  <si>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</si>
  <si>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</si>
  <si>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</si>
  <si>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</si>
  <si>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</si>
  <si>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</si>
  <si>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</si>
  <si>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</si>
  <si>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</si>
  <si>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</si>
  <si>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</si>
  <si>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</si>
  <si>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</si>
  <si>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</si>
  <si>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</si>
  <si>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</si>
  <si>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</si>
  <si>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</si>
  <si>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</si>
  <si>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</si>
  <si>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</si>
  <si>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</si>
  <si>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</si>
  <si>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</si>
  <si>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</si>
  <si>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</si>
  <si>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</si>
  <si>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</si>
  <si>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</si>
  <si>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</si>
  <si>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</si>
  <si>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</si>
  <si>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</si>
  <si>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</si>
  <si>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</si>
  <si>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</si>
  <si>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</si>
  <si>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</si>
  <si>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</si>
  <si>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</si>
  <si>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</si>
  <si>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</si>
  <si>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</si>
  <si>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</si>
  <si>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</si>
  <si>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</si>
  <si>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</si>
  <si>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</si>
  <si>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</si>
  <si>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</si>
  <si>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</si>
  <si>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</si>
  <si>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</si>
  <si>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</si>
  <si>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</si>
  <si>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</si>
  <si>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</si>
  <si>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</si>
  <si>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</si>
  <si>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</si>
  <si>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</si>
  <si>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</si>
  <si>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</si>
  <si>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</si>
  <si>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</si>
  <si>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</si>
  <si>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</si>
  <si>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</si>
  <si>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</si>
  <si>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</si>
  <si>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</si>
  <si>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</si>
  <si>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</si>
  <si>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</si>
  <si>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</si>
  <si>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</si>
  <si>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</si>
  <si>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</si>
  <si>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</si>
  <si>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</si>
  <si>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</si>
  <si>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</si>
  <si>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</si>
  <si>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</si>
  <si>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</si>
  <si>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</si>
  <si>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</si>
  <si>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</si>
  <si>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</si>
  <si>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</si>
  <si>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</si>
  <si>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</si>
  <si>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</si>
  <si>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</si>
  <si>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</si>
  <si>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</si>
  <si>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</si>
  <si>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</si>
  <si>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</si>
  <si>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</si>
  <si>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</si>
  <si>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</si>
  <si>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</si>
  <si>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</si>
  <si>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</si>
  <si>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</si>
  <si>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</si>
  <si>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</si>
  <si>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</si>
  <si>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</si>
  <si>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</si>
  <si>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</si>
  <si>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</si>
  <si>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</si>
  <si>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</si>
  <si>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</si>
  <si>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</si>
  <si>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</si>
  <si>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</si>
  <si>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</si>
  <si>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</si>
  <si>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</si>
  <si>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</si>
  <si>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</si>
  <si>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</si>
  <si>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</si>
  <si>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</si>
  <si>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</si>
  <si>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</si>
  <si>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</si>
  <si>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</si>
  <si>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</si>
  <si>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</si>
  <si>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</si>
  <si>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</si>
  <si>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</si>
  <si>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</si>
  <si>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</si>
  <si>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</si>
  <si>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</si>
  <si>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</si>
  <si>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</si>
  <si>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</si>
  <si>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</si>
  <si>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</si>
  <si>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</si>
  <si>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</si>
  <si>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</si>
  <si>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</si>
  <si>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</si>
  <si>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</si>
  <si>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</si>
  <si>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</si>
  <si>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</si>
  <si>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</si>
  <si>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</si>
  <si>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</si>
  <si>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</si>
  <si>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</si>
  <si>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</si>
  <si>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</si>
  <si>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</si>
  <si>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</si>
  <si>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</si>
  <si>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</si>
  <si>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</si>
  <si>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</si>
  <si>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</si>
  <si>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</si>
  <si>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</si>
  <si>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</si>
  <si>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</si>
  <si>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</si>
  <si>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</si>
  <si>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</si>
  <si>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</si>
  <si>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</si>
  <si>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</si>
  <si>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</si>
  <si>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</si>
  <si>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</si>
  <si>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</si>
  <si>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</si>
  <si>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</si>
  <si>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</si>
  <si>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</si>
  <si>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</si>
  <si>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</si>
  <si>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</si>
  <si>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</si>
  <si>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</si>
  <si>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</si>
  <si>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</si>
  <si>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</si>
  <si>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</si>
  <si>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</si>
  <si>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</si>
  <si>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</si>
  <si>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</si>
  <si>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</si>
  <si>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</si>
  <si>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</si>
  <si>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</si>
  <si>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</si>
  <si>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</si>
  <si>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</si>
  <si>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</si>
  <si>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</si>
  <si>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</si>
  <si>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</si>
  <si>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</si>
  <si>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</si>
  <si>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</si>
  <si>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</si>
  <si>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</si>
  <si>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</si>
  <si>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</si>
  <si>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</si>
  <si>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</si>
  <si>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</si>
  <si>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</si>
  <si>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</si>
  <si>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</si>
  <si>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</si>
  <si>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</si>
  <si>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</si>
  <si>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</si>
  <si>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</si>
  <si>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</si>
  <si>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</si>
  <si>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</si>
  <si>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</si>
  <si>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</si>
  <si>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</si>
  <si>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</si>
  <si>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</si>
  <si>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</si>
  <si>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</si>
  <si>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</si>
  <si>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</si>
  <si>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</si>
  <si>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</si>
  <si>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</si>
  <si>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</si>
  <si>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</si>
  <si>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</si>
  <si>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</si>
  <si>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</si>
  <si>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</si>
  <si>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</si>
  <si>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</si>
  <si>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</si>
  <si>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</si>
  <si>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</si>
  <si>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</si>
  <si>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</si>
  <si>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</si>
  <si>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</si>
  <si>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</si>
  <si>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</si>
  <si>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</si>
  <si>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</si>
  <si>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</si>
  <si>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</si>
  <si>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</si>
  <si>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</si>
  <si>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</si>
  <si>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</si>
  <si>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</si>
  <si>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</si>
  <si>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</si>
  <si>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</si>
  <si>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</si>
  <si>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</si>
  <si>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</si>
  <si>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</si>
  <si>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</si>
  <si>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</si>
  <si>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</si>
  <si>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</si>
  <si>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</si>
  <si>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</si>
  <si>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</si>
  <si>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</si>
  <si>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</si>
  <si>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</si>
  <si>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</si>
  <si>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</si>
  <si>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</si>
  <si>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</si>
  <si>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</si>
  <si>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</si>
  <si>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</si>
  <si>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</si>
  <si>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</si>
  <si>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</si>
  <si>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</si>
  <si>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</si>
  <si>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</si>
  <si>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</si>
  <si>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</si>
  <si>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</si>
  <si>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</si>
  <si>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</si>
  <si>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</si>
  <si>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</si>
  <si>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</si>
  <si>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</si>
  <si>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</si>
  <si>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</si>
  <si>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</si>
  <si>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</si>
  <si>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</si>
  <si>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</si>
  <si>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</si>
  <si>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</si>
  <si>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</si>
  <si>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</si>
  <si>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</si>
  <si>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</si>
  <si>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</si>
  <si>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</si>
  <si>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</si>
  <si>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</si>
  <si>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</si>
  <si>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</si>
  <si>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</si>
  <si>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</si>
  <si>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</si>
  <si>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</si>
  <si>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</si>
  <si>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</si>
  <si>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</si>
  <si>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</si>
  <si>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</si>
  <si>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</si>
  <si>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</si>
  <si>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</si>
  <si>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</si>
  <si>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</si>
  <si>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</si>
  <si>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</si>
  <si>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</si>
  <si>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</si>
  <si>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</si>
  <si>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</si>
  <si>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</si>
  <si>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</si>
  <si>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</si>
  <si>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</si>
  <si>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</si>
  <si>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</si>
  <si>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</si>
  <si>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</si>
  <si>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</si>
  <si>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</si>
  <si>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</si>
  <si>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</si>
  <si>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</si>
  <si>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</si>
  <si>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</si>
  <si>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</si>
  <si>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</si>
  <si>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</si>
  <si>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</si>
  <si>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</si>
  <si>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</si>
  <si>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</si>
  <si>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</si>
  <si>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</si>
  <si>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</si>
  <si>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</si>
  <si>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</si>
  <si>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</si>
  <si>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</si>
  <si>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</si>
  <si>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</si>
  <si>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</si>
  <si>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</si>
  <si>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</si>
  <si>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</si>
  <si>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</si>
  <si>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</si>
  <si>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</si>
  <si>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</si>
  <si>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</si>
  <si>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</si>
  <si>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</si>
  <si>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</si>
  <si>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</si>
  <si>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</si>
  <si>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</si>
  <si>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</si>
  <si>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</si>
  <si>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</si>
  <si>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</si>
  <si>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</si>
  <si>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</si>
  <si>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</si>
  <si>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</si>
  <si>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</si>
  <si>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</si>
  <si>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</si>
  <si>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</si>
  <si>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</si>
  <si>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</si>
  <si>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</si>
  <si>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</si>
  <si>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</si>
  <si>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</si>
  <si>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</si>
  <si>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</si>
  <si>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</si>
  <si>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</si>
  <si>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</si>
  <si>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</si>
  <si>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</si>
  <si>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</si>
  <si>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</si>
  <si>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</si>
  <si>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</si>
  <si>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</si>
  <si>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</si>
  <si>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</si>
  <si>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</si>
  <si>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</si>
  <si>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</si>
  <si>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</si>
  <si>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</si>
  <si>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</si>
  <si>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</si>
  <si>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</si>
  <si>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</si>
  <si>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</si>
  <si>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</si>
  <si>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</si>
  <si>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</si>
  <si>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</si>
  <si>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</si>
  <si>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</si>
  <si>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</si>
  <si>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</si>
  <si>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</si>
  <si>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</si>
  <si>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</si>
  <si>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</si>
  <si>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</si>
  <si>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</si>
  <si>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</si>
  <si>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</si>
  <si>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</si>
  <si>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</si>
  <si>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</si>
  <si>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</si>
  <si>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</si>
  <si>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</si>
  <si>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</si>
  <si>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</si>
  <si>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</si>
  <si>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</si>
  <si>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</si>
  <si>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</si>
  <si>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</si>
  <si>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</si>
  <si>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</si>
  <si>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</si>
  <si>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</si>
  <si>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</si>
  <si>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</si>
  <si>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</si>
  <si>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</si>
  <si>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</si>
  <si>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</si>
  <si>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</si>
  <si>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</si>
  <si>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</si>
  <si>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</si>
  <si>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</si>
  <si>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</si>
  <si>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</si>
  <si>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</si>
  <si>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</si>
  <si>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</si>
  <si>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</si>
  <si>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</si>
  <si>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</si>
  <si>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</si>
  <si>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</si>
  <si>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</si>
  <si>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</si>
  <si>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</si>
  <si>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</si>
  <si>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</si>
  <si>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</si>
  <si>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</si>
  <si>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</si>
  <si>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</si>
  <si>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</si>
  <si>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</si>
  <si>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</si>
  <si>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</si>
  <si>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</si>
  <si>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</si>
  <si>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</si>
  <si>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</si>
  <si>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</si>
  <si>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</si>
  <si>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</si>
  <si>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</si>
  <si>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</si>
  <si>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</si>
  <si>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</si>
  <si>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</si>
  <si>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</si>
  <si>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</si>
  <si>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</si>
  <si>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</si>
  <si>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</si>
  <si>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</si>
  <si>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</si>
  <si>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</si>
  <si>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</si>
  <si>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</si>
  <si>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</si>
  <si>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</si>
  <si>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</si>
  <si>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</si>
  <si>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</si>
  <si>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</si>
  <si>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</si>
  <si>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</si>
  <si>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</si>
  <si>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</si>
  <si>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</si>
  <si>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</si>
  <si>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</si>
  <si>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</si>
  <si>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</si>
  <si>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</si>
  <si>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</si>
  <si>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</si>
  <si>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</si>
  <si>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</si>
  <si>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</si>
  <si>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</si>
  <si>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</si>
  <si>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</si>
  <si>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</si>
  <si>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</si>
  <si>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</si>
  <si>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</si>
  <si>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</si>
  <si>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</si>
  <si>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</si>
  <si>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</si>
  <si>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</si>
  <si>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</si>
  <si>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</si>
  <si>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</si>
  <si>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</si>
  <si>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</si>
  <si>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</si>
  <si>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</si>
  <si>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</si>
  <si>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</si>
  <si>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</si>
  <si>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</si>
  <si>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</si>
  <si>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</si>
  <si>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</si>
  <si>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</si>
  <si>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</si>
  <si>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</si>
  <si>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</si>
  <si>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</si>
  <si>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</si>
  <si>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</si>
  <si>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</si>
  <si>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</si>
  <si>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</si>
  <si>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</si>
  <si>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</si>
  <si>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</si>
  <si>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</si>
  <si>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</si>
  <si>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</si>
  <si>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</si>
  <si>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</si>
  <si>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</si>
  <si>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</si>
  <si>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</si>
  <si>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</si>
  <si>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</si>
  <si>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</si>
  <si>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</si>
  <si>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</si>
  <si>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</si>
  <si>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</si>
  <si>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</si>
  <si>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24041</t>
  </si>
  <si>
    <t>HOEGAARDEN</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</si>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</sst>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4A452F8-C666-44F4-84EE-1000FBF71FA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24041</v>
      </c>
      <c r="B6" s="384"/>
      <c r="C6" s="385"/>
    </row>
    <row r="7" spans="1:7" s="382" customFormat="1" ht="15.75" customHeight="1">
      <c r="A7" s="386" t="str">
        <f>txtMunicipality</f>
        <v>HOEGAARDEN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0.20613350160288857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0.20613350160288857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2681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2544</v>
      </c>
      <c r="C14" s="327"/>
      <c r="D14" s="327"/>
      <c r="E14" s="327"/>
      <c r="F14" s="327"/>
    </row>
    <row r="15" spans="1:6">
      <c r="A15" s="1258" t="s">
        <v>177</v>
      </c>
      <c r="B15" s="1259">
        <v>3</v>
      </c>
      <c r="C15" s="327"/>
      <c r="D15" s="327"/>
      <c r="E15" s="327"/>
      <c r="F15" s="327"/>
    </row>
    <row r="16" spans="1:6">
      <c r="A16" s="1258" t="s">
        <v>6</v>
      </c>
      <c r="B16" s="1259">
        <v>120</v>
      </c>
      <c r="C16" s="327"/>
      <c r="D16" s="327"/>
      <c r="E16" s="327"/>
      <c r="F16" s="327"/>
    </row>
    <row r="17" spans="1:6">
      <c r="A17" s="1258" t="s">
        <v>7</v>
      </c>
      <c r="B17" s="1259">
        <v>175</v>
      </c>
      <c r="C17" s="327"/>
      <c r="D17" s="327"/>
      <c r="E17" s="327"/>
      <c r="F17" s="327"/>
    </row>
    <row r="18" spans="1:6">
      <c r="A18" s="1258" t="s">
        <v>8</v>
      </c>
      <c r="B18" s="1259">
        <v>314</v>
      </c>
      <c r="C18" s="327"/>
      <c r="D18" s="327"/>
      <c r="E18" s="327"/>
      <c r="F18" s="327"/>
    </row>
    <row r="19" spans="1:6">
      <c r="A19" s="1258" t="s">
        <v>9</v>
      </c>
      <c r="B19" s="1259">
        <v>392</v>
      </c>
      <c r="C19" s="327"/>
      <c r="D19" s="327"/>
      <c r="E19" s="327"/>
      <c r="F19" s="327"/>
    </row>
    <row r="20" spans="1:6">
      <c r="A20" s="1258" t="s">
        <v>10</v>
      </c>
      <c r="B20" s="1259">
        <v>131</v>
      </c>
      <c r="C20" s="327"/>
      <c r="D20" s="327"/>
      <c r="E20" s="327"/>
      <c r="F20" s="327"/>
    </row>
    <row r="21" spans="1:6">
      <c r="A21" s="1258" t="s">
        <v>11</v>
      </c>
      <c r="B21" s="1259">
        <v>2238</v>
      </c>
      <c r="C21" s="327"/>
      <c r="D21" s="327"/>
      <c r="E21" s="327"/>
      <c r="F21" s="327"/>
    </row>
    <row r="22" spans="1:6">
      <c r="A22" s="1258" t="s">
        <v>12</v>
      </c>
      <c r="B22" s="1259">
        <v>3291</v>
      </c>
      <c r="C22" s="327"/>
      <c r="D22" s="327"/>
      <c r="E22" s="327"/>
      <c r="F22" s="327"/>
    </row>
    <row r="23" spans="1:6">
      <c r="A23" s="1258" t="s">
        <v>13</v>
      </c>
      <c r="B23" s="1259">
        <v>47</v>
      </c>
      <c r="C23" s="327"/>
      <c r="D23" s="327"/>
      <c r="E23" s="327"/>
      <c r="F23" s="327"/>
    </row>
    <row r="24" spans="1:6">
      <c r="A24" s="1258" t="s">
        <v>14</v>
      </c>
      <c r="B24" s="1259">
        <v>8</v>
      </c>
      <c r="C24" s="327"/>
      <c r="D24" s="327"/>
      <c r="E24" s="327"/>
      <c r="F24" s="327"/>
    </row>
    <row r="25" spans="1:6">
      <c r="A25" s="1258" t="s">
        <v>15</v>
      </c>
      <c r="B25" s="1259">
        <v>842</v>
      </c>
      <c r="C25" s="327"/>
      <c r="D25" s="327"/>
      <c r="E25" s="327"/>
      <c r="F25" s="327"/>
    </row>
    <row r="26" spans="1:6">
      <c r="A26" s="1258" t="s">
        <v>16</v>
      </c>
      <c r="B26" s="1259">
        <v>167</v>
      </c>
      <c r="C26" s="327"/>
      <c r="D26" s="327"/>
      <c r="E26" s="327"/>
      <c r="F26" s="327"/>
    </row>
    <row r="27" spans="1:6">
      <c r="A27" s="1258" t="s">
        <v>17</v>
      </c>
      <c r="B27" s="1259">
        <v>0</v>
      </c>
      <c r="C27" s="327"/>
      <c r="D27" s="327"/>
      <c r="E27" s="327"/>
      <c r="F27" s="327"/>
    </row>
    <row r="28" spans="1:6">
      <c r="A28" s="1258" t="s">
        <v>18</v>
      </c>
      <c r="B28" s="1260">
        <v>15</v>
      </c>
      <c r="C28" s="327"/>
      <c r="D28" s="327"/>
      <c r="E28" s="327"/>
      <c r="F28" s="327"/>
    </row>
    <row r="29" spans="1:6">
      <c r="A29" s="1258" t="s">
        <v>939</v>
      </c>
      <c r="B29" s="1260">
        <v>36</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3668.6915899300002</v>
      </c>
    </row>
    <row r="39" spans="1:6">
      <c r="A39" s="1258" t="s">
        <v>29</v>
      </c>
      <c r="B39" s="1258" t="s">
        <v>30</v>
      </c>
      <c r="C39" s="1259">
        <v>1716</v>
      </c>
      <c r="D39" s="1259">
        <v>34784622.655855902</v>
      </c>
      <c r="E39" s="1259">
        <v>2607</v>
      </c>
      <c r="F39" s="1259">
        <v>11046556.868289299</v>
      </c>
    </row>
    <row r="40" spans="1:6">
      <c r="A40" s="1258" t="s">
        <v>29</v>
      </c>
      <c r="B40" s="1258" t="s">
        <v>28</v>
      </c>
      <c r="C40" s="1259">
        <v>0</v>
      </c>
      <c r="D40" s="1259">
        <v>0</v>
      </c>
      <c r="E40" s="1259">
        <v>0</v>
      </c>
      <c r="F40" s="1259">
        <v>0</v>
      </c>
    </row>
    <row r="41" spans="1:6">
      <c r="A41" s="1258" t="s">
        <v>31</v>
      </c>
      <c r="B41" s="1258" t="s">
        <v>32</v>
      </c>
      <c r="C41" s="1259">
        <v>12</v>
      </c>
      <c r="D41" s="1259">
        <v>349900.69802948699</v>
      </c>
      <c r="E41" s="1259">
        <v>23</v>
      </c>
      <c r="F41" s="1259">
        <v>136024.96239190301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34401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668431.33636018902</v>
      </c>
      <c r="E48" s="1259">
        <v>26</v>
      </c>
      <c r="F48" s="1259">
        <v>2649074.7605662001</v>
      </c>
    </row>
    <row r="49" spans="1:6">
      <c r="A49" s="1258" t="s">
        <v>31</v>
      </c>
      <c r="B49" s="1258" t="s">
        <v>39</v>
      </c>
      <c r="C49" s="1259">
        <v>0</v>
      </c>
      <c r="D49" s="1259">
        <v>0</v>
      </c>
      <c r="E49" s="1259">
        <v>0</v>
      </c>
      <c r="F49" s="1259">
        <v>0</v>
      </c>
    </row>
    <row r="50" spans="1:6">
      <c r="A50" s="1258" t="s">
        <v>31</v>
      </c>
      <c r="B50" s="1258" t="s">
        <v>40</v>
      </c>
      <c r="C50" s="1259">
        <v>11</v>
      </c>
      <c r="D50" s="1259">
        <v>24644688.650497001</v>
      </c>
      <c r="E50" s="1259">
        <v>10</v>
      </c>
      <c r="F50" s="1259">
        <v>8994384.8776594009</v>
      </c>
    </row>
    <row r="51" spans="1:6">
      <c r="A51" s="1258" t="s">
        <v>41</v>
      </c>
      <c r="B51" s="1258" t="s">
        <v>42</v>
      </c>
      <c r="C51" s="1259">
        <v>8</v>
      </c>
      <c r="D51" s="1259">
        <v>127058.830880579</v>
      </c>
      <c r="E51" s="1259">
        <v>44</v>
      </c>
      <c r="F51" s="1259">
        <v>389988.55820154602</v>
      </c>
    </row>
    <row r="52" spans="1:6">
      <c r="A52" s="1258" t="s">
        <v>41</v>
      </c>
      <c r="B52" s="1258" t="s">
        <v>28</v>
      </c>
      <c r="C52" s="1259">
        <v>2</v>
      </c>
      <c r="D52" s="1259">
        <v>20265.001112927999</v>
      </c>
      <c r="E52" s="1259">
        <v>15</v>
      </c>
      <c r="F52" s="1259">
        <v>161643.883908016</v>
      </c>
    </row>
    <row r="53" spans="1:6">
      <c r="A53" s="1258" t="s">
        <v>43</v>
      </c>
      <c r="B53" s="1258" t="s">
        <v>44</v>
      </c>
      <c r="C53" s="1259">
        <v>48</v>
      </c>
      <c r="D53" s="1259">
        <v>1039075.20381127</v>
      </c>
      <c r="E53" s="1259">
        <v>88</v>
      </c>
      <c r="F53" s="1259">
        <v>436607.97343193903</v>
      </c>
    </row>
    <row r="54" spans="1:6">
      <c r="A54" s="1258" t="s">
        <v>45</v>
      </c>
      <c r="B54" s="1258" t="s">
        <v>46</v>
      </c>
      <c r="C54" s="1259">
        <v>0</v>
      </c>
      <c r="D54" s="1259">
        <v>0</v>
      </c>
      <c r="E54" s="1259">
        <v>1</v>
      </c>
      <c r="F54" s="1259">
        <v>389665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v>
      </c>
      <c r="D57" s="1259">
        <v>149279.11070009001</v>
      </c>
      <c r="E57" s="1259">
        <v>8</v>
      </c>
      <c r="F57" s="1259">
        <v>68055.585712687302</v>
      </c>
    </row>
    <row r="58" spans="1:6">
      <c r="A58" s="1258" t="s">
        <v>48</v>
      </c>
      <c r="B58" s="1258" t="s">
        <v>50</v>
      </c>
      <c r="C58" s="1259">
        <v>0</v>
      </c>
      <c r="D58" s="1259">
        <v>0</v>
      </c>
      <c r="E58" s="1259">
        <v>3</v>
      </c>
      <c r="F58" s="1259">
        <v>7019.2579006243996</v>
      </c>
    </row>
    <row r="59" spans="1:6">
      <c r="A59" s="1258" t="s">
        <v>48</v>
      </c>
      <c r="B59" s="1258" t="s">
        <v>51</v>
      </c>
      <c r="C59" s="1259">
        <v>17</v>
      </c>
      <c r="D59" s="1259">
        <v>910724.12434056099</v>
      </c>
      <c r="E59" s="1259">
        <v>23</v>
      </c>
      <c r="F59" s="1259">
        <v>786473.44507406699</v>
      </c>
    </row>
    <row r="60" spans="1:6">
      <c r="A60" s="1258" t="s">
        <v>48</v>
      </c>
      <c r="B60" s="1258" t="s">
        <v>52</v>
      </c>
      <c r="C60" s="1259">
        <v>16</v>
      </c>
      <c r="D60" s="1259">
        <v>966627.18721873802</v>
      </c>
      <c r="E60" s="1259">
        <v>19</v>
      </c>
      <c r="F60" s="1259">
        <v>484858.93309756398</v>
      </c>
    </row>
    <row r="61" spans="1:6">
      <c r="A61" s="1258" t="s">
        <v>48</v>
      </c>
      <c r="B61" s="1258" t="s">
        <v>53</v>
      </c>
      <c r="C61" s="1259">
        <v>59</v>
      </c>
      <c r="D61" s="1259">
        <v>3067603.3708275901</v>
      </c>
      <c r="E61" s="1259">
        <v>116</v>
      </c>
      <c r="F61" s="1259">
        <v>1325391.28614897</v>
      </c>
    </row>
    <row r="62" spans="1:6">
      <c r="A62" s="1258" t="s">
        <v>48</v>
      </c>
      <c r="B62" s="1258" t="s">
        <v>54</v>
      </c>
      <c r="C62" s="1259">
        <v>0</v>
      </c>
      <c r="D62" s="1259">
        <v>0</v>
      </c>
      <c r="E62" s="1259">
        <v>3</v>
      </c>
      <c r="F62" s="1259">
        <v>24449.2372842154</v>
      </c>
    </row>
    <row r="63" spans="1:6">
      <c r="A63" s="1258" t="s">
        <v>48</v>
      </c>
      <c r="B63" s="1258" t="s">
        <v>28</v>
      </c>
      <c r="C63" s="1259">
        <v>74</v>
      </c>
      <c r="D63" s="1259">
        <v>2454229.4067132398</v>
      </c>
      <c r="E63" s="1259">
        <v>85</v>
      </c>
      <c r="F63" s="1259">
        <v>1958698.6080398499</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874.4853665974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26208.723171683199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11232794</v>
      </c>
      <c r="E73" s="445"/>
      <c r="F73" s="327"/>
    </row>
    <row r="74" spans="1:6">
      <c r="A74" s="1258" t="s">
        <v>63</v>
      </c>
      <c r="B74" s="1258" t="s">
        <v>724</v>
      </c>
      <c r="C74" s="1271" t="s">
        <v>718</v>
      </c>
      <c r="D74" s="1259">
        <v>1166998.218921714</v>
      </c>
      <c r="E74" s="445"/>
      <c r="F74" s="327"/>
    </row>
    <row r="75" spans="1:6">
      <c r="A75" s="1258" t="s">
        <v>64</v>
      </c>
      <c r="B75" s="1258" t="s">
        <v>723</v>
      </c>
      <c r="C75" s="1271" t="s">
        <v>719</v>
      </c>
      <c r="D75" s="1259">
        <v>10266099</v>
      </c>
      <c r="E75" s="445"/>
      <c r="F75" s="327"/>
    </row>
    <row r="76" spans="1:6">
      <c r="A76" s="1258" t="s">
        <v>64</v>
      </c>
      <c r="B76" s="1258" t="s">
        <v>724</v>
      </c>
      <c r="C76" s="1271" t="s">
        <v>720</v>
      </c>
      <c r="D76" s="1259">
        <v>113171.21892171408</v>
      </c>
      <c r="E76" s="445"/>
      <c r="F76" s="327"/>
    </row>
    <row r="77" spans="1:6">
      <c r="A77" s="1258" t="s">
        <v>65</v>
      </c>
      <c r="B77" s="1258" t="s">
        <v>723</v>
      </c>
      <c r="C77" s="1271" t="s">
        <v>721</v>
      </c>
      <c r="D77" s="1259">
        <v>104939549</v>
      </c>
      <c r="E77" s="445"/>
      <c r="F77" s="327"/>
    </row>
    <row r="78" spans="1:6">
      <c r="A78" s="1253" t="s">
        <v>65</v>
      </c>
      <c r="B78" s="1253" t="s">
        <v>724</v>
      </c>
      <c r="C78" s="1253" t="s">
        <v>722</v>
      </c>
      <c r="D78" s="1261">
        <v>12507224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117789.56215657182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12</v>
      </c>
      <c r="C89" s="327"/>
      <c r="D89" s="327"/>
      <c r="E89" s="327"/>
      <c r="F89" s="327"/>
    </row>
    <row r="90" spans="1:6">
      <c r="A90" s="1258" t="s">
        <v>548</v>
      </c>
      <c r="B90" s="1259">
        <v>0</v>
      </c>
      <c r="C90" s="327"/>
      <c r="D90" s="327"/>
      <c r="E90" s="327"/>
      <c r="F90" s="327"/>
    </row>
    <row r="91" spans="1:6">
      <c r="A91" s="1258" t="s">
        <v>67</v>
      </c>
      <c r="B91" s="1259">
        <v>1022.9791559761466</v>
      </c>
      <c r="C91" s="327"/>
      <c r="D91" s="327"/>
      <c r="E91" s="327"/>
      <c r="F91" s="327"/>
    </row>
    <row r="92" spans="1:6">
      <c r="A92" s="1253" t="s">
        <v>68</v>
      </c>
      <c r="B92" s="1254">
        <v>285.41294123864247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1048</v>
      </c>
      <c r="C97" s="327"/>
      <c r="D97" s="327"/>
      <c r="E97" s="327"/>
      <c r="F97" s="327"/>
    </row>
    <row r="98" spans="1:6">
      <c r="A98" s="1258" t="s">
        <v>71</v>
      </c>
      <c r="B98" s="1259">
        <v>1</v>
      </c>
      <c r="C98" s="327"/>
      <c r="D98" s="327"/>
      <c r="E98" s="327"/>
      <c r="F98" s="327"/>
    </row>
    <row r="99" spans="1:6">
      <c r="A99" s="1258" t="s">
        <v>72</v>
      </c>
      <c r="B99" s="1259">
        <v>17</v>
      </c>
      <c r="C99" s="327"/>
      <c r="D99" s="327"/>
      <c r="E99" s="327"/>
      <c r="F99" s="327"/>
    </row>
    <row r="100" spans="1:6">
      <c r="A100" s="1258" t="s">
        <v>73</v>
      </c>
      <c r="B100" s="1259">
        <v>119</v>
      </c>
      <c r="C100" s="327"/>
      <c r="D100" s="327"/>
      <c r="E100" s="327"/>
      <c r="F100" s="327"/>
    </row>
    <row r="101" spans="1:6">
      <c r="A101" s="1258" t="s">
        <v>74</v>
      </c>
      <c r="B101" s="1259">
        <v>28</v>
      </c>
      <c r="C101" s="327"/>
      <c r="D101" s="327"/>
      <c r="E101" s="327"/>
      <c r="F101" s="327"/>
    </row>
    <row r="102" spans="1:6">
      <c r="A102" s="1258" t="s">
        <v>75</v>
      </c>
      <c r="B102" s="1259">
        <v>31</v>
      </c>
      <c r="C102" s="327"/>
      <c r="D102" s="327"/>
      <c r="E102" s="327"/>
      <c r="F102" s="327"/>
    </row>
    <row r="103" spans="1:6">
      <c r="A103" s="1258" t="s">
        <v>76</v>
      </c>
      <c r="B103" s="1259">
        <v>100</v>
      </c>
      <c r="C103" s="327"/>
      <c r="D103" s="327"/>
      <c r="E103" s="327"/>
      <c r="F103" s="327"/>
    </row>
    <row r="104" spans="1:6">
      <c r="A104" s="1258" t="s">
        <v>77</v>
      </c>
      <c r="B104" s="1259">
        <v>1043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22</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30666.209439947914</v>
      </c>
      <c r="C3" s="44" t="s">
        <v>163</v>
      </c>
      <c r="D3" s="44"/>
      <c r="E3" s="157"/>
      <c r="F3" s="44"/>
      <c r="G3" s="44"/>
      <c r="H3" s="44"/>
      <c r="I3" s="44"/>
      <c r="J3" s="44"/>
      <c r="K3" s="97"/>
    </row>
    <row r="4" spans="1:11">
      <c r="A4" s="352" t="s">
        <v>164</v>
      </c>
      <c r="B4" s="50">
        <f>IF(ISERROR('SEAP template'!B78+'SEAP template'!C78),0,'SEAP template'!B78+'SEAP template'!C78)</f>
        <v>2062.8920972147889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0.20613350160288857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1060.7142857142858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389.66500000000002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389.66500000000002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0.20613350160288857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80.323010902089578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11046.556868289299</v>
      </c>
      <c r="C5" s="18">
        <f>IF(ISERROR('Eigen informatie GS &amp; warmtenet'!B57),0,'Eigen informatie GS &amp; warmtenet'!B57)</f>
        <v>0</v>
      </c>
      <c r="D5" s="31">
        <f>(SUM(HH_hh_gas_kWh,HH_rest_gas_kWh)/1000)*0.902</f>
        <v>31375.729635582022</v>
      </c>
      <c r="E5" s="18">
        <f>B32*B41</f>
        <v>544.46297636878387</v>
      </c>
      <c r="F5" s="18">
        <f>B36*B45</f>
        <v>16599.095412378108</v>
      </c>
      <c r="G5" s="19"/>
      <c r="H5" s="18"/>
      <c r="I5" s="18"/>
      <c r="J5" s="18">
        <f>B35*B44+C35*C44</f>
        <v>301.18480237195695</v>
      </c>
      <c r="K5" s="18"/>
      <c r="L5" s="18"/>
      <c r="M5" s="18"/>
      <c r="N5" s="18">
        <f>B34*B43+C34*C43</f>
        <v>3830.4526722821929</v>
      </c>
      <c r="O5" s="18">
        <f>B52*B53*B54</f>
        <v>37.520000000000003</v>
      </c>
      <c r="P5" s="18">
        <f>B60*B61*B62/1000-B60*B61*B62/1000/B63</f>
        <v>76.266666666666666</v>
      </c>
    </row>
    <row r="6" spans="1:16">
      <c r="A6" s="17" t="s">
        <v>597</v>
      </c>
      <c r="B6" s="731">
        <f>kWh_PV_kleiner_dan_10kW</f>
        <v>1022.9791559761466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12069.536024265446</v>
      </c>
      <c r="C8" s="22">
        <f>C5</f>
        <v>0</v>
      </c>
      <c r="D8" s="22">
        <f>D5</f>
        <v>31375.729635582022</v>
      </c>
      <c r="E8" s="22">
        <f>E5</f>
        <v>544.46297636878387</v>
      </c>
      <c r="F8" s="22">
        <f>F5</f>
        <v>16599.095412378108</v>
      </c>
      <c r="G8" s="22"/>
      <c r="H8" s="22"/>
      <c r="I8" s="22"/>
      <c r="J8" s="22">
        <f>J5</f>
        <v>301.18480237195695</v>
      </c>
      <c r="K8" s="22"/>
      <c r="L8" s="22">
        <f>L5</f>
        <v>0</v>
      </c>
      <c r="M8" s="22">
        <f>M5</f>
        <v>0</v>
      </c>
      <c r="N8" s="22">
        <f>N5</f>
        <v>3830.4526722821929</v>
      </c>
      <c r="O8" s="22">
        <f>O5</f>
        <v>37.520000000000003</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0.20613350160288857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2487.9357234040426</v>
      </c>
      <c r="C12" s="24">
        <f ca="1">C10*C8</f>
        <v>0</v>
      </c>
      <c r="D12" s="24">
        <f>D8*D10</f>
        <v>6337.897386387569</v>
      </c>
      <c r="E12" s="24">
        <f>E10*E8</f>
        <v>123.59309563571394</v>
      </c>
      <c r="F12" s="24">
        <f>F10*F8</f>
        <v>4431.9584751049551</v>
      </c>
      <c r="G12" s="24"/>
      <c r="H12" s="24"/>
      <c r="I12" s="24"/>
      <c r="J12" s="24">
        <f>J10*J8</f>
        <v>106.61942003967276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2681</v>
      </c>
      <c r="C26" s="37"/>
      <c r="D26" s="228"/>
    </row>
    <row r="27" spans="1:5" s="16" customFormat="1">
      <c r="A27" s="230" t="s">
        <v>623</v>
      </c>
      <c r="B27" s="38">
        <f>SUM(HH_hh_gas_aantal,HH_rest_gas_aantal)</f>
        <v>1716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1630.2</v>
      </c>
      <c r="C31" s="35" t="s">
        <v>104</v>
      </c>
      <c r="D31" s="174"/>
    </row>
    <row r="32" spans="1:5">
      <c r="A32" s="171" t="s">
        <v>72</v>
      </c>
      <c r="B32" s="34">
        <f>IF((B21*($B$26-($B$27-0.05*$B$27)-$B$60))&lt;0,0,B21*($B$26-($B$27-0.05*$B$27)-$B$60))</f>
        <v>25.725456038968407</v>
      </c>
      <c r="C32" s="35" t="s">
        <v>104</v>
      </c>
      <c r="D32" s="174"/>
    </row>
    <row r="33" spans="1:6">
      <c r="A33" s="171" t="s">
        <v>73</v>
      </c>
      <c r="B33" s="34">
        <f>IF((B22*($B$26-($B$27-0.05*$B$27)-$B$60))&lt;0,0,B22*($B$26-($B$27-0.05*$B$27)-$B$60))</f>
        <v>173.16249097341421</v>
      </c>
      <c r="C33" s="35" t="s">
        <v>104</v>
      </c>
      <c r="D33" s="174"/>
    </row>
    <row r="34" spans="1:6">
      <c r="A34" s="171" t="s">
        <v>74</v>
      </c>
      <c r="B34" s="34">
        <f>IF((B24*($B$26-($B$27-0.05*$B$27)-$B$60))&lt;0,0,B24*($B$26-($B$27-0.05*$B$27)-$B$60))</f>
        <v>43.917657645445573</v>
      </c>
      <c r="C34" s="34">
        <f>B26*C24</f>
        <v>548.27074048078271</v>
      </c>
      <c r="D34" s="233"/>
    </row>
    <row r="35" spans="1:6">
      <c r="A35" s="171" t="s">
        <v>76</v>
      </c>
      <c r="B35" s="34">
        <f>IF((B19*($B$26-($B$27-0.05*$B$27)-$B$60))&lt;0,0,B19*($B$26-($B$27-0.05*$B$27)-$B$60))</f>
        <v>16.327195298806185</v>
      </c>
      <c r="C35" s="34">
        <f>B35/2</f>
        <v>8.1635976494030924</v>
      </c>
      <c r="D35" s="233"/>
    </row>
    <row r="36" spans="1:6">
      <c r="A36" s="171" t="s">
        <v>77</v>
      </c>
      <c r="B36" s="34">
        <f>IF((B18*($B$26-($B$27-0.05*$B$27)-$B$60))&lt;0,0,B18*($B$26-($B$27-0.05*$B$27)-$B$60))</f>
        <v>787.66720004336526</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4654.9463532579784</v>
      </c>
      <c r="C5" s="18">
        <f>IF(ISERROR('Eigen informatie GS &amp; warmtenet'!B58),0,'Eigen informatie GS &amp; warmtenet'!B58)</f>
        <v>0</v>
      </c>
      <c r="D5" s="31">
        <f>SUM(D6:D12)</f>
        <v>6808.7138062197973</v>
      </c>
      <c r="E5" s="18">
        <f>SUM(E6:E12)</f>
        <v>48.82002851241667</v>
      </c>
      <c r="F5" s="18">
        <f>SUM(F6:F12)</f>
        <v>830.71370753399674</v>
      </c>
      <c r="G5" s="19"/>
      <c r="H5" s="18"/>
      <c r="I5" s="18"/>
      <c r="J5" s="18">
        <f>SUM(J6:J12)</f>
        <v>0</v>
      </c>
      <c r="K5" s="18"/>
      <c r="L5" s="18"/>
      <c r="M5" s="18"/>
      <c r="N5" s="18">
        <f>SUM(N6:N12)</f>
        <v>158.64618201109988</v>
      </c>
      <c r="O5" s="18">
        <f>B38*B39*B40</f>
        <v>0</v>
      </c>
      <c r="P5" s="18">
        <f>B46*B47*B48/1000-B46*B47*B48/1000/B49</f>
        <v>19.066666666666666</v>
      </c>
      <c r="R5" s="33"/>
    </row>
    <row r="6" spans="1:18">
      <c r="A6" s="33" t="s">
        <v>53</v>
      </c>
      <c r="B6" s="38">
        <f>B26</f>
        <v>1325.39128614897</v>
      </c>
      <c r="C6" s="34"/>
      <c r="D6" s="38">
        <f>IF(ISERROR(TER_kantoor_gas_kWh/1000),0,TER_kantoor_gas_kWh/1000)*0.902</f>
        <v>2766.9782404864864</v>
      </c>
      <c r="E6" s="34">
        <f>$C$26*'E Balans VL '!I12/100/3.6*1000000</f>
        <v>2.1650665219601231</v>
      </c>
      <c r="F6" s="34">
        <f>$C$26*('E Balans VL '!L12+'E Balans VL '!N12)/100/3.6*1000000</f>
        <v>155.70965828840622</v>
      </c>
      <c r="G6" s="35"/>
      <c r="H6" s="34"/>
      <c r="I6" s="34"/>
      <c r="J6" s="34">
        <f>$C$26*('E Balans VL '!D12+'E Balans VL '!E12)/100/3.6*1000000</f>
        <v>0</v>
      </c>
      <c r="K6" s="34"/>
      <c r="L6" s="34"/>
      <c r="M6" s="34"/>
      <c r="N6" s="34">
        <f>$C$26*'E Balans VL '!Y12/100/3.6*1000000</f>
        <v>9.6505437506642373</v>
      </c>
      <c r="O6" s="34"/>
      <c r="P6" s="34"/>
      <c r="R6" s="33"/>
    </row>
    <row r="7" spans="1:18">
      <c r="A7" s="33" t="s">
        <v>52</v>
      </c>
      <c r="B7" s="38">
        <f t="shared" ref="B7:B12" si="0">B27</f>
        <v>484.85893309756398</v>
      </c>
      <c r="C7" s="34"/>
      <c r="D7" s="38">
        <f>IF(ISERROR(TER_horeca_gas_kWh/1000),0,TER_horeca_gas_kWh/1000)*0.902</f>
        <v>871.89772287130177</v>
      </c>
      <c r="E7" s="34">
        <f>$C$27*'E Balans VL '!I9/100/3.6*1000000</f>
        <v>25.085120645968566</v>
      </c>
      <c r="F7" s="34">
        <f>$C$27*('E Balans VL '!L9+'E Balans VL '!N9)/100/3.6*1000000</f>
        <v>110.31292822146669</v>
      </c>
      <c r="G7" s="35"/>
      <c r="H7" s="34"/>
      <c r="I7" s="34"/>
      <c r="J7" s="34">
        <f>$C$27*('E Balans VL '!D9+'E Balans VL '!E9)/100/3.6*1000000</f>
        <v>0</v>
      </c>
      <c r="K7" s="34"/>
      <c r="L7" s="34"/>
      <c r="M7" s="34"/>
      <c r="N7" s="34">
        <f>$C$27*'E Balans VL '!Y9/100/3.6*1000000</f>
        <v>5.1047171225341539E-2</v>
      </c>
      <c r="O7" s="34"/>
      <c r="P7" s="34"/>
      <c r="R7" s="33"/>
    </row>
    <row r="8" spans="1:18">
      <c r="A8" s="6" t="s">
        <v>51</v>
      </c>
      <c r="B8" s="38">
        <f t="shared" si="0"/>
        <v>786.47344507406694</v>
      </c>
      <c r="C8" s="34"/>
      <c r="D8" s="38">
        <f>IF(ISERROR(TER_handel_gas_kWh/1000),0,TER_handel_gas_kWh/1000)*0.902</f>
        <v>821.47316015518595</v>
      </c>
      <c r="E8" s="34">
        <f>$C$28*'E Balans VL '!I13/100/3.6*1000000</f>
        <v>4.1311452504770676</v>
      </c>
      <c r="F8" s="34">
        <f>$C$28*('E Balans VL '!L13+'E Balans VL '!N13)/100/3.6*1000000</f>
        <v>148.27658369290975</v>
      </c>
      <c r="G8" s="35"/>
      <c r="H8" s="34"/>
      <c r="I8" s="34"/>
      <c r="J8" s="34">
        <f>$C$28*('E Balans VL '!D13+'E Balans VL '!E13)/100/3.6*1000000</f>
        <v>0</v>
      </c>
      <c r="K8" s="34"/>
      <c r="L8" s="34"/>
      <c r="M8" s="34"/>
      <c r="N8" s="34">
        <f>$C$28*'E Balans VL '!Y13/100/3.6*1000000</f>
        <v>3.8989767730003351</v>
      </c>
      <c r="O8" s="34"/>
      <c r="P8" s="34"/>
      <c r="R8" s="33"/>
    </row>
    <row r="9" spans="1:18">
      <c r="A9" s="33" t="s">
        <v>50</v>
      </c>
      <c r="B9" s="38">
        <f t="shared" si="0"/>
        <v>7.0192579006243996</v>
      </c>
      <c r="C9" s="34"/>
      <c r="D9" s="38">
        <f>IF(ISERROR(TER_gezond_gas_kWh/1000),0,TER_gezond_gas_kWh/1000)*0.902</f>
        <v>0</v>
      </c>
      <c r="E9" s="34">
        <f>$C$29*'E Balans VL '!I10/100/3.6*1000000</f>
        <v>6.2313005148385281E-3</v>
      </c>
      <c r="F9" s="34">
        <f>$C$29*('E Balans VL '!L10+'E Balans VL '!N10)/100/3.6*1000000</f>
        <v>2.1816920869853993</v>
      </c>
      <c r="G9" s="35"/>
      <c r="H9" s="34"/>
      <c r="I9" s="34"/>
      <c r="J9" s="34">
        <f>$C$29*('E Balans VL '!D10+'E Balans VL '!E10)/100/3.6*1000000</f>
        <v>0</v>
      </c>
      <c r="K9" s="34"/>
      <c r="L9" s="34"/>
      <c r="M9" s="34"/>
      <c r="N9" s="34">
        <f>$C$29*'E Balans VL '!Y10/100/3.6*1000000</f>
        <v>5.4181594925167061E-2</v>
      </c>
      <c r="O9" s="34"/>
      <c r="P9" s="34"/>
      <c r="R9" s="33"/>
    </row>
    <row r="10" spans="1:18">
      <c r="A10" s="33" t="s">
        <v>49</v>
      </c>
      <c r="B10" s="38">
        <f t="shared" si="0"/>
        <v>68.055585712687304</v>
      </c>
      <c r="C10" s="34"/>
      <c r="D10" s="38">
        <f>IF(ISERROR(TER_ander_gas_kWh/1000),0,TER_ander_gas_kWh/1000)*0.902</f>
        <v>134.64975785148118</v>
      </c>
      <c r="E10" s="34">
        <f>$C$30*'E Balans VL '!I14/100/3.6*1000000</f>
        <v>0.55509095401940289</v>
      </c>
      <c r="F10" s="34">
        <f>$C$30*('E Balans VL '!L14+'E Balans VL '!N14)/100/3.6*1000000</f>
        <v>19.836939706549845</v>
      </c>
      <c r="G10" s="35"/>
      <c r="H10" s="34"/>
      <c r="I10" s="34"/>
      <c r="J10" s="34">
        <f>$C$30*('E Balans VL '!D14+'E Balans VL '!E14)/100/3.6*1000000</f>
        <v>0</v>
      </c>
      <c r="K10" s="34"/>
      <c r="L10" s="34"/>
      <c r="M10" s="34"/>
      <c r="N10" s="34">
        <f>$C$30*'E Balans VL '!Y14/100/3.6*1000000</f>
        <v>32.323369538868413</v>
      </c>
      <c r="O10" s="34"/>
      <c r="P10" s="34"/>
      <c r="R10" s="33"/>
    </row>
    <row r="11" spans="1:18">
      <c r="A11" s="33" t="s">
        <v>54</v>
      </c>
      <c r="B11" s="38">
        <f t="shared" si="0"/>
        <v>24.4492372842154</v>
      </c>
      <c r="C11" s="34"/>
      <c r="D11" s="38">
        <f>IF(ISERROR(TER_onderwijs_gas_kWh/1000),0,TER_onderwijs_gas_kWh/1000)*0.902</f>
        <v>0</v>
      </c>
      <c r="E11" s="34">
        <f>$C$31*'E Balans VL '!I11/100/3.6*1000000</f>
        <v>2.0397175929791449E-2</v>
      </c>
      <c r="F11" s="34">
        <f>$C$31*('E Balans VL '!L11+'E Balans VL '!N11)/100/3.6*1000000</f>
        <v>12.794319250328629</v>
      </c>
      <c r="G11" s="35"/>
      <c r="H11" s="34"/>
      <c r="I11" s="34"/>
      <c r="J11" s="34">
        <f>$C$31*('E Balans VL '!D11+'E Balans VL '!E11)/100/3.6*1000000</f>
        <v>0</v>
      </c>
      <c r="K11" s="34"/>
      <c r="L11" s="34"/>
      <c r="M11" s="34"/>
      <c r="N11" s="34">
        <f>$C$31*'E Balans VL '!Y11/100/3.6*1000000</f>
        <v>0.1076446856884534</v>
      </c>
      <c r="O11" s="34"/>
      <c r="P11" s="34"/>
      <c r="R11" s="33"/>
    </row>
    <row r="12" spans="1:18">
      <c r="A12" s="33" t="s">
        <v>249</v>
      </c>
      <c r="B12" s="38">
        <f t="shared" si="0"/>
        <v>1958.6986080398499</v>
      </c>
      <c r="C12" s="34"/>
      <c r="D12" s="38">
        <f>IF(ISERROR(TER_rest_gas_kWh/1000),0,TER_rest_gas_kWh/1000)*0.902</f>
        <v>2213.7149248553424</v>
      </c>
      <c r="E12" s="34">
        <f>$C$32*'E Balans VL '!I8/100/3.6*1000000</f>
        <v>16.856976663546881</v>
      </c>
      <c r="F12" s="34">
        <f>$C$32*('E Balans VL '!L8+'E Balans VL '!N8)/100/3.6*1000000</f>
        <v>381.60158628735024</v>
      </c>
      <c r="G12" s="35"/>
      <c r="H12" s="34"/>
      <c r="I12" s="34"/>
      <c r="J12" s="34">
        <f>$C$32*('E Balans VL '!D8+'E Balans VL '!E8)/100/3.6*1000000</f>
        <v>0</v>
      </c>
      <c r="K12" s="34"/>
      <c r="L12" s="34"/>
      <c r="M12" s="34"/>
      <c r="N12" s="34">
        <f>$C$32*'E Balans VL '!Y8/100/3.6*1000000</f>
        <v>112.56041849672795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4654.9463532579784</v>
      </c>
      <c r="C16" s="22">
        <f t="shared" ca="1" si="1"/>
        <v>0</v>
      </c>
      <c r="D16" s="22">
        <f t="shared" ca="1" si="1"/>
        <v>6808.7138062197973</v>
      </c>
      <c r="E16" s="22">
        <f t="shared" si="1"/>
        <v>48.82002851241667</v>
      </c>
      <c r="F16" s="22">
        <f t="shared" ca="1" si="1"/>
        <v>830.71370753399674</v>
      </c>
      <c r="G16" s="22">
        <f t="shared" si="1"/>
        <v>0</v>
      </c>
      <c r="H16" s="22">
        <f t="shared" si="1"/>
        <v>0</v>
      </c>
      <c r="I16" s="22">
        <f t="shared" si="1"/>
        <v>0</v>
      </c>
      <c r="J16" s="22">
        <f t="shared" si="1"/>
        <v>0</v>
      </c>
      <c r="K16" s="22">
        <f t="shared" si="1"/>
        <v>0</v>
      </c>
      <c r="L16" s="22">
        <f t="shared" ca="1" si="1"/>
        <v>0</v>
      </c>
      <c r="M16" s="22">
        <f t="shared" si="1"/>
        <v>0</v>
      </c>
      <c r="N16" s="22">
        <f t="shared" ca="1" si="1"/>
        <v>158.64618201109988</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0.20613350160288857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959.54039157066381</v>
      </c>
      <c r="C20" s="24">
        <f t="shared" ref="C20:P20" ca="1" si="2">C16*C18</f>
        <v>0</v>
      </c>
      <c r="D20" s="24">
        <f t="shared" ca="1" si="2"/>
        <v>1375.3601888563992</v>
      </c>
      <c r="E20" s="24">
        <f t="shared" si="2"/>
        <v>11.082146472318584</v>
      </c>
      <c r="F20" s="24">
        <f t="shared" ca="1" si="2"/>
        <v>221.80055991157715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1325.39128614897</v>
      </c>
      <c r="C26" s="40">
        <f>IF(ISERROR(B26*3.6/1000000/'E Balans VL '!Z12*100),0,B26*3.6/1000000/'E Balans VL '!Z12*100)</f>
        <v>2.8091742998799463E-2</v>
      </c>
      <c r="D26" s="236" t="s">
        <v>660</v>
      </c>
      <c r="F26" s="6"/>
    </row>
    <row r="27" spans="1:18">
      <c r="A27" s="231" t="s">
        <v>52</v>
      </c>
      <c r="B27" s="34">
        <f>IF(ISERROR(TER_horeca_ele_kWh/1000),0,TER_horeca_ele_kWh/1000)</f>
        <v>484.85893309756398</v>
      </c>
      <c r="C27" s="40">
        <f>IF(ISERROR(B27*3.6/1000000/'E Balans VL '!Z9*100),0,B27*3.6/1000000/'E Balans VL '!Z9*100)</f>
        <v>3.8047581037521649E-2</v>
      </c>
      <c r="D27" s="236" t="s">
        <v>660</v>
      </c>
      <c r="F27" s="6"/>
    </row>
    <row r="28" spans="1:18">
      <c r="A28" s="171" t="s">
        <v>51</v>
      </c>
      <c r="B28" s="34">
        <f>IF(ISERROR(TER_handel_ele_kWh/1000),0,TER_handel_ele_kWh/1000)</f>
        <v>786.47344507406694</v>
      </c>
      <c r="C28" s="40">
        <f>IF(ISERROR(B28*3.6/1000000/'E Balans VL '!Z13*100),0,B28*3.6/1000000/'E Balans VL '!Z13*100)</f>
        <v>2.1963407320496467E-2</v>
      </c>
      <c r="D28" s="236" t="s">
        <v>660</v>
      </c>
      <c r="F28" s="6"/>
    </row>
    <row r="29" spans="1:18">
      <c r="A29" s="231" t="s">
        <v>50</v>
      </c>
      <c r="B29" s="34">
        <f>IF(ISERROR(TER_gezond_ele_kWh/1000),0,TER_gezond_ele_kWh/1000)</f>
        <v>7.0192579006243996</v>
      </c>
      <c r="C29" s="40">
        <f>IF(ISERROR(B29*3.6/1000000/'E Balans VL '!Z10*100),0,B29*3.6/1000000/'E Balans VL '!Z10*100)</f>
        <v>8.0440223527979311E-4</v>
      </c>
      <c r="D29" s="236" t="s">
        <v>660</v>
      </c>
      <c r="F29" s="6"/>
    </row>
    <row r="30" spans="1:18">
      <c r="A30" s="231" t="s">
        <v>49</v>
      </c>
      <c r="B30" s="34">
        <f>IF(ISERROR(TER_ander_ele_kWh/1000),0,TER_ander_ele_kWh/1000)</f>
        <v>68.055585712687304</v>
      </c>
      <c r="C30" s="40">
        <f>IF(ISERROR(B30*3.6/1000000/'E Balans VL '!Z14*100),0,B30*3.6/1000000/'E Balans VL '!Z14*100)</f>
        <v>5.0747037478968736E-3</v>
      </c>
      <c r="D30" s="236" t="s">
        <v>660</v>
      </c>
      <c r="F30" s="6"/>
    </row>
    <row r="31" spans="1:18">
      <c r="A31" s="231" t="s">
        <v>54</v>
      </c>
      <c r="B31" s="34">
        <f>IF(ISERROR(TER_onderwijs_ele_kWh/1000),0,TER_onderwijs_ele_kWh/1000)</f>
        <v>24.4492372842154</v>
      </c>
      <c r="C31" s="40">
        <f>IF(ISERROR(B31*3.6/1000000/'E Balans VL '!Z11*100),0,B31*3.6/1000000/'E Balans VL '!Z11*100)</f>
        <v>6.9876459388804549E-3</v>
      </c>
      <c r="D31" s="236" t="s">
        <v>660</v>
      </c>
    </row>
    <row r="32" spans="1:18">
      <c r="A32" s="231" t="s">
        <v>249</v>
      </c>
      <c r="B32" s="34">
        <f>IF(ISERROR(TER_rest_ele_kWh/1000),0,TER_rest_ele_kWh/1000)</f>
        <v>1958.6986080398499</v>
      </c>
      <c r="C32" s="40">
        <f>IF(ISERROR(B32*3.6/1000000/'E Balans VL '!Z8*100),0,B32*3.6/1000000/'E Balans VL '!Z8*100)</f>
        <v>1.6138458314332822E-2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11813.885600617503</v>
      </c>
      <c r="C5" s="18">
        <f>IF(ISERROR('Eigen informatie GS &amp; warmtenet'!B59),0,'Eigen informatie GS &amp; warmtenet'!B59)</f>
        <v>0</v>
      </c>
      <c r="D5" s="31">
        <f>SUM(D6:D15)</f>
        <v>23148.044657767783</v>
      </c>
      <c r="E5" s="18">
        <f>SUM(E6:E15)</f>
        <v>113.34162942726768</v>
      </c>
      <c r="F5" s="18">
        <f>SUM(F6:F15)</f>
        <v>1633.3525227535224</v>
      </c>
      <c r="G5" s="19"/>
      <c r="H5" s="18"/>
      <c r="I5" s="18"/>
      <c r="J5" s="18">
        <f>SUM(J6:J15)</f>
        <v>13.93403260762628</v>
      </c>
      <c r="K5" s="18"/>
      <c r="L5" s="18"/>
      <c r="M5" s="18"/>
      <c r="N5" s="18">
        <f>SUM(N6:N15)</f>
        <v>224.92947125801771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34.401000000000003</v>
      </c>
      <c r="C8" s="34"/>
      <c r="D8" s="38">
        <f>IF( ISERROR(IND_metaal_Gas_kWH/1000),0,IND_metaal_Gas_kWH/1000)*0.902</f>
        <v>0</v>
      </c>
      <c r="E8" s="34">
        <f>C30*'E Balans VL '!I18/100/3.6*1000000</f>
        <v>0.31328370751479512</v>
      </c>
      <c r="F8" s="34">
        <f>C30*'E Balans VL '!L18/100/3.6*1000000+C30*'E Balans VL '!N18/100/3.6*1000000</f>
        <v>4.5372306543189653</v>
      </c>
      <c r="G8" s="35"/>
      <c r="H8" s="34"/>
      <c r="I8" s="34"/>
      <c r="J8" s="41">
        <f>C30*'E Balans VL '!D18/100/3.6*1000000+C30*'E Balans VL '!E18/100/3.6*1000000</f>
        <v>0.56412645154659014</v>
      </c>
      <c r="K8" s="34"/>
      <c r="L8" s="34"/>
      <c r="M8" s="34"/>
      <c r="N8" s="34">
        <f>C30*'E Balans VL '!Y18/100/3.6*1000000</f>
        <v>0.11822257123780534</v>
      </c>
      <c r="O8" s="34"/>
      <c r="P8" s="34"/>
      <c r="R8" s="33"/>
    </row>
    <row r="9" spans="1:18">
      <c r="A9" s="6" t="s">
        <v>32</v>
      </c>
      <c r="B9" s="38">
        <f t="shared" si="0"/>
        <v>136.02496239190302</v>
      </c>
      <c r="C9" s="34"/>
      <c r="D9" s="38">
        <f>IF( ISERROR(IND_andere_gas_kWh/1000),0,IND_andere_gas_kWh/1000)*0.902</f>
        <v>315.61042962259728</v>
      </c>
      <c r="E9" s="34">
        <f>C31*'E Balans VL '!I19/100/3.6*1000000</f>
        <v>0.78624460987450151</v>
      </c>
      <c r="F9" s="34">
        <f>C31*'E Balans VL '!L19/100/3.6*1000000+C31*'E Balans VL '!N19/100/3.6*1000000</f>
        <v>108.21440284494359</v>
      </c>
      <c r="G9" s="35"/>
      <c r="H9" s="34"/>
      <c r="I9" s="34"/>
      <c r="J9" s="41">
        <f>C31*'E Balans VL '!D19/100/3.6*1000000+C31*'E Balans VL '!E19/100/3.6*1000000</f>
        <v>1.2866450519786838E-2</v>
      </c>
      <c r="K9" s="34"/>
      <c r="L9" s="34"/>
      <c r="M9" s="34"/>
      <c r="N9" s="34">
        <f>C31*'E Balans VL '!Y19/100/3.6*1000000</f>
        <v>10.305949408736264</v>
      </c>
      <c r="O9" s="34"/>
      <c r="P9" s="34"/>
      <c r="R9" s="33"/>
    </row>
    <row r="10" spans="1:18">
      <c r="A10" s="6" t="s">
        <v>40</v>
      </c>
      <c r="B10" s="38">
        <f t="shared" si="0"/>
        <v>8994.3848776594004</v>
      </c>
      <c r="C10" s="34"/>
      <c r="D10" s="38">
        <f>IF( ISERROR(IND_voed_gas_kWh/1000),0,IND_voed_gas_kWh/1000)*0.902</f>
        <v>22229.509162748294</v>
      </c>
      <c r="E10" s="34">
        <f>C32*'E Balans VL '!I20/100/3.6*1000000</f>
        <v>88.438334019214594</v>
      </c>
      <c r="F10" s="34">
        <f>C32*'E Balans VL '!L20/100/3.6*1000000+C32*'E Balans VL '!N20/100/3.6*1000000</f>
        <v>998.94384117140567</v>
      </c>
      <c r="G10" s="35"/>
      <c r="H10" s="34"/>
      <c r="I10" s="34"/>
      <c r="J10" s="41">
        <f>C32*'E Balans VL '!D20/100/3.6*1000000+C32*'E Balans VL '!E20/100/3.6*1000000</f>
        <v>3.5450954007894303E-2</v>
      </c>
      <c r="K10" s="34"/>
      <c r="L10" s="34"/>
      <c r="M10" s="34"/>
      <c r="N10" s="34">
        <f>C32*'E Balans VL '!Y20/100/3.6*1000000</f>
        <v>133.18568301478973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2649.0747605662</v>
      </c>
      <c r="C15" s="34"/>
      <c r="D15" s="38">
        <f>IF( ISERROR(IND_rest_gas_kWh/1000),0,IND_rest_gas_kWh/1000)*0.902</f>
        <v>602.92506539689043</v>
      </c>
      <c r="E15" s="34">
        <f>C37*'E Balans VL '!I15/100/3.6*1000000</f>
        <v>23.803767090663779</v>
      </c>
      <c r="F15" s="34">
        <f>C37*'E Balans VL '!L15/100/3.6*1000000+C37*'E Balans VL '!N15/100/3.6*1000000</f>
        <v>521.6570480828542</v>
      </c>
      <c r="G15" s="35"/>
      <c r="H15" s="34"/>
      <c r="I15" s="34"/>
      <c r="J15" s="41">
        <f>C37*'E Balans VL '!D15/100/3.6*1000000+C37*'E Balans VL '!E15/100/3.6*1000000</f>
        <v>13.321588751552008</v>
      </c>
      <c r="K15" s="34"/>
      <c r="L15" s="34"/>
      <c r="M15" s="34"/>
      <c r="N15" s="34">
        <f>C37*'E Balans VL '!Y15/100/3.6*1000000</f>
        <v>81.319616263253906</v>
      </c>
      <c r="O15" s="34"/>
      <c r="P15" s="34"/>
      <c r="R15" s="33"/>
    </row>
    <row r="16" spans="1:18">
      <c r="A16" s="17" t="s">
        <v>488</v>
      </c>
      <c r="B16" s="246">
        <f>'lokale energieproductie'!N37+'lokale energieproductie'!N30</f>
        <v>742.5</v>
      </c>
      <c r="C16" s="246">
        <f>'lokale energieproductie'!O37+'lokale energieproductie'!O30</f>
        <v>1060.7142857142858</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-2121.4285714285716</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12556.385600617503</v>
      </c>
      <c r="C18" s="22">
        <f>C5+C16</f>
        <v>1060.7142857142858</v>
      </c>
      <c r="D18" s="22">
        <f>MAX((D5+D16),0)</f>
        <v>23148.044657767783</v>
      </c>
      <c r="E18" s="22">
        <f>MAX((E5+E16),0)</f>
        <v>113.34162942726768</v>
      </c>
      <c r="F18" s="22">
        <f>MAX((F5+F16),0)</f>
        <v>1633.3525227535224</v>
      </c>
      <c r="G18" s="22"/>
      <c r="H18" s="22"/>
      <c r="I18" s="22"/>
      <c r="J18" s="22">
        <f>MAX((J5+J16),0)</f>
        <v>13.93403260762628</v>
      </c>
      <c r="K18" s="22"/>
      <c r="L18" s="22">
        <f>MAX((L5+L16),0)</f>
        <v>0</v>
      </c>
      <c r="M18" s="22"/>
      <c r="N18" s="22">
        <f>MAX((N5+N16),0)</f>
        <v>0</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0.20613350160288857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2588.2917313313751</v>
      </c>
      <c r="C22" s="24">
        <f ca="1">C18*C20</f>
        <v>0</v>
      </c>
      <c r="D22" s="24">
        <f>D18*D20</f>
        <v>4675.9050208690924</v>
      </c>
      <c r="E22" s="24">
        <f>E18*E20</f>
        <v>25.728549879989764</v>
      </c>
      <c r="F22" s="24">
        <f>F18*F20</f>
        <v>436.10512357519053</v>
      </c>
      <c r="G22" s="24"/>
      <c r="H22" s="24"/>
      <c r="I22" s="24"/>
      <c r="J22" s="24">
        <f>J18*J20</f>
        <v>4.9326475430997032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34.401000000000003</v>
      </c>
      <c r="C30" s="40">
        <f>IF(ISERROR(B30*3.6/1000000/'E Balans VL '!Z18*100),0,B30*3.6/1000000/'E Balans VL '!Z18*100)</f>
        <v>1.9141856124866622E-3</v>
      </c>
      <c r="D30" s="236" t="s">
        <v>660</v>
      </c>
    </row>
    <row r="31" spans="1:18">
      <c r="A31" s="6" t="s">
        <v>32</v>
      </c>
      <c r="B31" s="38">
        <f>IF( ISERROR(IND_ander_ele_kWh/1000),0,IND_ander_ele_kWh/1000)</f>
        <v>136.02496239190302</v>
      </c>
      <c r="C31" s="40">
        <f>IF(ISERROR(B31*3.6/1000000/'E Balans VL '!Z19*100),0,B31*3.6/1000000/'E Balans VL '!Z19*100)</f>
        <v>6.3234432588713477E-3</v>
      </c>
      <c r="D31" s="236" t="s">
        <v>660</v>
      </c>
    </row>
    <row r="32" spans="1:18">
      <c r="A32" s="171" t="s">
        <v>40</v>
      </c>
      <c r="B32" s="38">
        <f>IF( ISERROR(IND_voed_ele_kWh/1000),0,IND_voed_ele_kWh/1000)</f>
        <v>8994.3848776594004</v>
      </c>
      <c r="C32" s="40">
        <f>IF(ISERROR(B32*3.6/1000000/'E Balans VL '!Z20*100),0,B32*3.6/1000000/'E Balans VL '!Z20*100)</f>
        <v>0.31793334049570671</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2649.0747605662</v>
      </c>
      <c r="C37" s="40">
        <f>IF(ISERROR(B37*3.6/1000000/'E Balans VL '!Z15*100),0,B37*3.6/1000000/'E Balans VL '!Z15*100)</f>
        <v>2.0004427717441944E-2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551.63244210956202</v>
      </c>
      <c r="C5" s="18">
        <f>'Eigen informatie GS &amp; warmtenet'!B60</f>
        <v>0</v>
      </c>
      <c r="D5" s="31">
        <f>IF(ISERROR(SUM(LB_lb_gas_kWh,LB_rest_gas_kWh)/1000),0,SUM(LB_lb_gas_kWh,LB_rest_gas_kWh)/1000)*0.902</f>
        <v>132.8860964581433</v>
      </c>
      <c r="E5" s="18">
        <f>B17*'E Balans VL '!I25/3.6*1000000/100</f>
        <v>5.4474707675735718</v>
      </c>
      <c r="F5" s="18">
        <f>B17*('E Balans VL '!L25/3.6*1000000+'E Balans VL '!N25/3.6*1000000)/100</f>
        <v>1840.3917877013478</v>
      </c>
      <c r="G5" s="19"/>
      <c r="H5" s="18"/>
      <c r="I5" s="18"/>
      <c r="J5" s="18">
        <f>('E Balans VL '!D25+'E Balans VL '!E25)/3.6*1000000*landbouw!B17/100</f>
        <v>55.036174489964225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551.63244210956202</v>
      </c>
      <c r="C8" s="22">
        <f>C5+C6</f>
        <v>0</v>
      </c>
      <c r="D8" s="22">
        <f>MAX((D5+D6),0)</f>
        <v>132.8860964581433</v>
      </c>
      <c r="E8" s="22">
        <f>MAX((E5+E6),0)</f>
        <v>5.4474707675735718</v>
      </c>
      <c r="F8" s="22">
        <f>MAX((F5+F6),0)</f>
        <v>1840.3917877013478</v>
      </c>
      <c r="G8" s="22"/>
      <c r="H8" s="22"/>
      <c r="I8" s="22"/>
      <c r="J8" s="22">
        <f>MAX((J5+J6),0)</f>
        <v>55.036174489964225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0.20613350160288857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113.70992688979673</v>
      </c>
      <c r="C12" s="24">
        <f ca="1">C8*C10</f>
        <v>0</v>
      </c>
      <c r="D12" s="24">
        <f>D8*D10</f>
        <v>26.84299148454495</v>
      </c>
      <c r="E12" s="24">
        <f>E8*E10</f>
        <v>1.2365758642392009</v>
      </c>
      <c r="F12" s="24">
        <f>F8*F10</f>
        <v>491.38460731625986</v>
      </c>
      <c r="G12" s="24"/>
      <c r="H12" s="24"/>
      <c r="I12" s="24"/>
      <c r="J12" s="24">
        <f>J8*J10</f>
        <v>19.482805769447335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7.4682217856992361E-2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72.648477470789103</v>
      </c>
      <c r="C26" s="246">
        <f>B26*'GWP N2O_CH4'!B5</f>
        <v>1525.6180268865712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36.969809699356325</v>
      </c>
      <c r="C27" s="246">
        <f>B27*'GWP N2O_CH4'!B5</f>
        <v>776.36600368648283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1.2567187305985763</v>
      </c>
      <c r="C28" s="246">
        <f>B28*'GWP N2O_CH4'!B4</f>
        <v>389.58280648555865</v>
      </c>
      <c r="D28" s="51"/>
    </row>
    <row r="29" spans="1:4">
      <c r="A29" s="42" t="s">
        <v>266</v>
      </c>
      <c r="B29" s="246">
        <f>B34*'ha_N2O bodem landbouw'!B4</f>
        <v>14.031088188933348</v>
      </c>
      <c r="C29" s="246">
        <f>B29*'GWP N2O_CH4'!B4</f>
        <v>4349.6373385693378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3.7879521086117839E-3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1.9072920016006398E-5</v>
      </c>
      <c r="C5" s="433" t="s">
        <v>204</v>
      </c>
      <c r="D5" s="418">
        <f>SUM(D6:D11)</f>
        <v>2.1585165369481479E-5</v>
      </c>
      <c r="E5" s="418">
        <f>SUM(E6:E11)</f>
        <v>1.6488214250743821E-3</v>
      </c>
      <c r="F5" s="431" t="s">
        <v>204</v>
      </c>
      <c r="G5" s="418">
        <f>SUM(G6:G11)</f>
        <v>0.36825611410229264</v>
      </c>
      <c r="H5" s="418">
        <f>SUM(H6:H11)</f>
        <v>5.7708432558050624E-2</v>
      </c>
      <c r="I5" s="433" t="s">
        <v>204</v>
      </c>
      <c r="J5" s="433" t="s">
        <v>204</v>
      </c>
      <c r="K5" s="433" t="s">
        <v>204</v>
      </c>
      <c r="L5" s="433" t="s">
        <v>204</v>
      </c>
      <c r="M5" s="418">
        <f>SUM(M6:M11)</f>
        <v>1.9029153853858193E-2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1.5771213570848468E-6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1.8291738625619143E-6</v>
      </c>
      <c r="E6" s="421">
        <f>vkm_GW_PW*SUMIFS(TableVerdeelsleutelVkm[LPG],TableVerdeelsleutelVkm[Voertuigtype],"Lichte voertuigen")*SUMIFS(TableECFTransport[EnergieConsumptieFactor (PJ per km)],TableECFTransport[Index],CONCATENATE($A6,"_LPG_LPG"))</f>
        <v>1.1839570177856588E-4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1.8667656893340392E-2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4.7203652573367299E-3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1.0468494349097359E-3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6.83099176243269E-8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1.1299889850226012E-2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3.5216070102773721E-7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5.0281047797760034E-4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1.5049520849475705E-6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2.8447635122969922E-6</v>
      </c>
      <c r="E8" s="421">
        <f>vkm_NGW_PW*SUMIFS(TableVerdeelsleutelVkm[LPG],TableVerdeelsleutelVkm[Voertuigtype],"Lichte voertuigen")*SUMIFS(TableECFTransport[EnergieConsumptieFactor (PJ per km)],TableECFTransport[Index],CONCATENATE($A8,"_LPG_LPG"))</f>
        <v>1.7401748231520828E-4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2.5943423002724494E-2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6.9871645632155494E-3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1.4744220757384953E-3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6.6244459645619697E-9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1.4052223064545232E-3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4.12214378392783E-8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6.2527969521394123E-5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1.5183805316564443E-5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1.6911227994622572E-5</v>
      </c>
      <c r="E10" s="421">
        <f>vkm_SW_PW*SUMIFS(TableVerdeelsleutelVkm[LPG],TableVerdeelsleutelVkm[Voertuigtype],"Lichte voertuigen")*SUMIFS(TableECFTransport[EnergieConsumptieFactor (PJ per km)],TableECFTransport[Index],CONCATENATE($A10,"_LPG_LPG"))</f>
        <v>1.356408240980608E-3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0.1974981791473418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4.5996624614407421E-2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1.0894717895269711E-2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7.3210689382064783E-7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0.11344174290220542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3.8847409520570787E-6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5.0478260004412573E-3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5.2980333377795557</v>
      </c>
      <c r="C14" s="22"/>
      <c r="D14" s="22">
        <f t="shared" ref="D14:M14" si="0">((D5)*10^9/3600)+D12</f>
        <v>5.9958792693004108</v>
      </c>
      <c r="E14" s="22">
        <f t="shared" si="0"/>
        <v>458.00595140955062</v>
      </c>
      <c r="F14" s="22"/>
      <c r="G14" s="22">
        <f t="shared" si="0"/>
        <v>102293.36502841463</v>
      </c>
      <c r="H14" s="22">
        <f t="shared" si="0"/>
        <v>16030.120155014063</v>
      </c>
      <c r="I14" s="22"/>
      <c r="J14" s="22"/>
      <c r="K14" s="22"/>
      <c r="L14" s="22"/>
      <c r="M14" s="22">
        <f t="shared" si="0"/>
        <v>5285.876070516164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0.20613350160288857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1.0921021635253392</v>
      </c>
      <c r="C18" s="24"/>
      <c r="D18" s="24">
        <f t="shared" ref="D18:M18" si="1">D14*D16</f>
        <v>1.211167612398683</v>
      </c>
      <c r="E18" s="24">
        <f t="shared" si="1"/>
        <v>103.967350969968</v>
      </c>
      <c r="F18" s="24"/>
      <c r="G18" s="24">
        <f t="shared" si="1"/>
        <v>27312.328462586705</v>
      </c>
      <c r="H18" s="24">
        <f t="shared" si="1"/>
        <v>3991.4999185985016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7.6968465397271813E-6</v>
      </c>
      <c r="C50" s="316">
        <f t="shared" ref="C50:P50" si="2">SUM(C51:C52)</f>
        <v>0</v>
      </c>
      <c r="D50" s="316">
        <f t="shared" si="2"/>
        <v>0</v>
      </c>
      <c r="E50" s="316">
        <f t="shared" si="2"/>
        <v>0</v>
      </c>
      <c r="F50" s="316">
        <f t="shared" si="2"/>
        <v>0</v>
      </c>
      <c r="G50" s="316">
        <f t="shared" si="2"/>
        <v>1.535151259705042E-3</v>
      </c>
      <c r="H50" s="316">
        <f t="shared" si="2"/>
        <v>0</v>
      </c>
      <c r="I50" s="316">
        <f t="shared" si="2"/>
        <v>0</v>
      </c>
      <c r="J50" s="316">
        <f t="shared" si="2"/>
        <v>0</v>
      </c>
      <c r="K50" s="316">
        <f t="shared" si="2"/>
        <v>0</v>
      </c>
      <c r="L50" s="316">
        <f t="shared" si="2"/>
        <v>0</v>
      </c>
      <c r="M50" s="316">
        <f t="shared" si="2"/>
        <v>6.7852050676974119E-5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7.6968465397271813E-6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1.535151259705042E-3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6.7852050676974119E-5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2.1380129277019946</v>
      </c>
      <c r="C54" s="22">
        <f t="shared" ref="C54:P54" si="3">(C50)*10^9/3600</f>
        <v>0</v>
      </c>
      <c r="D54" s="22">
        <f t="shared" si="3"/>
        <v>0</v>
      </c>
      <c r="E54" s="22">
        <f t="shared" si="3"/>
        <v>0</v>
      </c>
      <c r="F54" s="22">
        <f t="shared" si="3"/>
        <v>0</v>
      </c>
      <c r="G54" s="22">
        <f t="shared" si="3"/>
        <v>426.43090547362277</v>
      </c>
      <c r="H54" s="22">
        <f t="shared" si="3"/>
        <v>0</v>
      </c>
      <c r="I54" s="22">
        <f t="shared" si="3"/>
        <v>0</v>
      </c>
      <c r="J54" s="22">
        <f t="shared" si="3"/>
        <v>0</v>
      </c>
      <c r="K54" s="22">
        <f t="shared" si="3"/>
        <v>0</v>
      </c>
      <c r="L54" s="22">
        <f t="shared" si="3"/>
        <v>0</v>
      </c>
      <c r="M54" s="22">
        <f t="shared" si="3"/>
        <v>18.847791854715034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0.20613350160288857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0.4407160912594556</v>
      </c>
      <c r="C58" s="24">
        <f t="shared" ref="C58:P58" ca="1" si="4">C54*C56</f>
        <v>0</v>
      </c>
      <c r="D58" s="24">
        <f t="shared" si="4"/>
        <v>0</v>
      </c>
      <c r="E58" s="24">
        <f t="shared" si="4"/>
        <v>0</v>
      </c>
      <c r="F58" s="24">
        <f t="shared" si="4"/>
        <v>0</v>
      </c>
      <c r="G58" s="24">
        <f t="shared" si="4"/>
        <v>113.85705176145729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12</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1308.3920972147889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742.5</v>
      </c>
      <c r="C8" s="544">
        <f>B48</f>
        <v>0</v>
      </c>
      <c r="D8" s="931"/>
      <c r="E8" s="931">
        <f>E48</f>
        <v>0</v>
      </c>
      <c r="F8" s="932"/>
      <c r="G8" s="545"/>
      <c r="H8" s="931">
        <f>I48</f>
        <v>0</v>
      </c>
      <c r="I8" s="931">
        <f>G48+F48</f>
        <v>0</v>
      </c>
      <c r="J8" s="931">
        <f>H48+D48+C48</f>
        <v>873.52941176470586</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2062.8920972147889</v>
      </c>
      <c r="C10" s="556">
        <f t="shared" ref="C10:L10" si="0">SUM(C8:C9)</f>
        <v>0</v>
      </c>
      <c r="D10" s="556">
        <f t="shared" si="0"/>
        <v>0</v>
      </c>
      <c r="E10" s="556">
        <f t="shared" si="0"/>
        <v>0</v>
      </c>
      <c r="F10" s="556">
        <f t="shared" si="0"/>
        <v>0</v>
      </c>
      <c r="G10" s="556">
        <f t="shared" si="0"/>
        <v>0</v>
      </c>
      <c r="H10" s="556">
        <f t="shared" si="0"/>
        <v>0</v>
      </c>
      <c r="I10" s="556">
        <f t="shared" si="0"/>
        <v>0</v>
      </c>
      <c r="J10" s="556">
        <f t="shared" si="0"/>
        <v>873.52941176470586</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1060.7142857142858</v>
      </c>
      <c r="C17" s="568">
        <f>B49</f>
        <v>0</v>
      </c>
      <c r="D17" s="569"/>
      <c r="E17" s="569">
        <f>E49</f>
        <v>0</v>
      </c>
      <c r="F17" s="570"/>
      <c r="G17" s="571"/>
      <c r="H17" s="568">
        <f>I49</f>
        <v>0</v>
      </c>
      <c r="I17" s="569">
        <f>G49+F49</f>
        <v>0</v>
      </c>
      <c r="J17" s="569">
        <f>H49+D49+C49</f>
        <v>1247.8991596638657</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1060.7142857142858</v>
      </c>
      <c r="C20" s="555">
        <f>SUM(C17:C19)</f>
        <v>0</v>
      </c>
      <c r="D20" s="555">
        <f t="shared" ref="D20:L20" si="1">SUM(D17:D19)</f>
        <v>0</v>
      </c>
      <c r="E20" s="555">
        <f t="shared" si="1"/>
        <v>0</v>
      </c>
      <c r="F20" s="555">
        <f t="shared" si="1"/>
        <v>0</v>
      </c>
      <c r="G20" s="555">
        <f t="shared" si="1"/>
        <v>0</v>
      </c>
      <c r="H20" s="555">
        <f t="shared" si="1"/>
        <v>0</v>
      </c>
      <c r="I20" s="555">
        <f t="shared" si="1"/>
        <v>0</v>
      </c>
      <c r="J20" s="555">
        <f t="shared" si="1"/>
        <v>1247.8991596638657</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24041</v>
      </c>
      <c r="C28" s="740">
        <v>3320</v>
      </c>
      <c r="D28" s="628"/>
      <c r="E28" s="627"/>
      <c r="F28" s="627"/>
      <c r="G28" s="627" t="s">
        <v>942</v>
      </c>
      <c r="H28" s="627" t="s">
        <v>943</v>
      </c>
      <c r="I28" s="627"/>
      <c r="J28" s="739"/>
      <c r="K28" s="739"/>
      <c r="L28" s="627" t="s">
        <v>944</v>
      </c>
      <c r="M28" s="627">
        <v>165</v>
      </c>
      <c r="N28" s="627">
        <v>742.5</v>
      </c>
      <c r="O28" s="627">
        <v>1060.7142857142858</v>
      </c>
      <c r="P28" s="627">
        <v>0</v>
      </c>
      <c r="Q28" s="627">
        <v>2121.4285714285716</v>
      </c>
      <c r="R28" s="627">
        <v>0</v>
      </c>
      <c r="S28" s="627">
        <v>0</v>
      </c>
      <c r="T28" s="627">
        <v>0</v>
      </c>
      <c r="U28" s="627">
        <v>0</v>
      </c>
      <c r="V28" s="627">
        <v>0</v>
      </c>
      <c r="W28" s="627"/>
      <c r="X28" s="627"/>
      <c r="Y28" s="627">
        <v>500</v>
      </c>
      <c r="Z28" s="627" t="s">
        <v>40</v>
      </c>
      <c r="AA28" s="629" t="s">
        <v>378</v>
      </c>
    </row>
    <row r="29" spans="1:27" s="563" customFormat="1" hidden="1">
      <c r="A29" s="583" t="s">
        <v>269</v>
      </c>
      <c r="B29" s="584"/>
      <c r="C29" s="584"/>
      <c r="D29" s="584"/>
      <c r="E29" s="584"/>
      <c r="F29" s="584"/>
      <c r="G29" s="584"/>
      <c r="H29" s="584"/>
      <c r="I29" s="584"/>
      <c r="J29" s="584"/>
      <c r="K29" s="584"/>
      <c r="L29" s="585"/>
      <c r="M29" s="585">
        <f>SUM(M28:M28)</f>
        <v>165</v>
      </c>
      <c r="N29" s="585">
        <f>SUM(N28:N28)</f>
        <v>742.5</v>
      </c>
      <c r="O29" s="585">
        <f>SUM(O28:O28)</f>
        <v>1060.7142857142858</v>
      </c>
      <c r="P29" s="585">
        <f>SUM(P28:P28)</f>
        <v>0</v>
      </c>
      <c r="Q29" s="585">
        <f>SUM(Q28:Q28)</f>
        <v>2121.4285714285716</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165</v>
      </c>
      <c r="N30" s="585">
        <f>SUMIF($AA$28:$AA$28,"industrie",N28:N28)</f>
        <v>742.5</v>
      </c>
      <c r="O30" s="585">
        <f>SUMIF($AA$28:$AA$28,"industrie",O28:O28)</f>
        <v>1060.7142857142858</v>
      </c>
      <c r="P30" s="585">
        <f>SUMIF($AA$28:$AA$28,"industrie",P28:P28)</f>
        <v>0</v>
      </c>
      <c r="Q30" s="585">
        <f>SUMIF($AA$28:$AA$28,"industrie",Q28:Q28)</f>
        <v>2121.4285714285716</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873.52941176470586</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1247.8991596638657</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5044.6113532579784</v>
      </c>
      <c r="D10" s="639">
        <f ca="1">tertiair!C16</f>
        <v>0</v>
      </c>
      <c r="E10" s="639">
        <f ca="1">tertiair!D16</f>
        <v>6808.7138062197973</v>
      </c>
      <c r="F10" s="639">
        <f>tertiair!E16</f>
        <v>48.82002851241667</v>
      </c>
      <c r="G10" s="639">
        <f ca="1">tertiair!F16</f>
        <v>830.71370753399674</v>
      </c>
      <c r="H10" s="639">
        <f>tertiair!G16</f>
        <v>0</v>
      </c>
      <c r="I10" s="639">
        <f>tertiair!H16</f>
        <v>0</v>
      </c>
      <c r="J10" s="639">
        <f>tertiair!I16</f>
        <v>0</v>
      </c>
      <c r="K10" s="639">
        <f>tertiair!J16</f>
        <v>0</v>
      </c>
      <c r="L10" s="639">
        <f>tertiair!K16</f>
        <v>0</v>
      </c>
      <c r="M10" s="639">
        <f ca="1">tertiair!L16</f>
        <v>0</v>
      </c>
      <c r="N10" s="639">
        <f>tertiair!M16</f>
        <v>0</v>
      </c>
      <c r="O10" s="639">
        <f ca="1">tertiair!N16</f>
        <v>158.64618201109988</v>
      </c>
      <c r="P10" s="639">
        <f>tertiair!O16</f>
        <v>0</v>
      </c>
      <c r="Q10" s="640">
        <f>tertiair!P16</f>
        <v>19.066666666666666</v>
      </c>
      <c r="R10" s="642">
        <f ca="1">SUM(C10:Q10)</f>
        <v>12910.571744201956</v>
      </c>
      <c r="S10" s="68"/>
    </row>
    <row r="11" spans="1:19" s="443" customFormat="1">
      <c r="A11" s="753" t="s">
        <v>214</v>
      </c>
      <c r="B11" s="758"/>
      <c r="C11" s="639">
        <f>huishoudens!B8</f>
        <v>12069.536024265446</v>
      </c>
      <c r="D11" s="639">
        <f>huishoudens!C8</f>
        <v>0</v>
      </c>
      <c r="E11" s="639">
        <f>huishoudens!D8</f>
        <v>31375.729635582022</v>
      </c>
      <c r="F11" s="639">
        <f>huishoudens!E8</f>
        <v>544.46297636878387</v>
      </c>
      <c r="G11" s="639">
        <f>huishoudens!F8</f>
        <v>16599.095412378108</v>
      </c>
      <c r="H11" s="639">
        <f>huishoudens!G8</f>
        <v>0</v>
      </c>
      <c r="I11" s="639">
        <f>huishoudens!H8</f>
        <v>0</v>
      </c>
      <c r="J11" s="639">
        <f>huishoudens!I8</f>
        <v>0</v>
      </c>
      <c r="K11" s="639">
        <f>huishoudens!J8</f>
        <v>301.18480237195695</v>
      </c>
      <c r="L11" s="639">
        <f>huishoudens!K8</f>
        <v>0</v>
      </c>
      <c r="M11" s="639">
        <f>huishoudens!L8</f>
        <v>0</v>
      </c>
      <c r="N11" s="639">
        <f>huishoudens!M8</f>
        <v>0</v>
      </c>
      <c r="O11" s="639">
        <f>huishoudens!N8</f>
        <v>3830.4526722821929</v>
      </c>
      <c r="P11" s="639">
        <f>huishoudens!O8</f>
        <v>37.520000000000003</v>
      </c>
      <c r="Q11" s="640">
        <f>huishoudens!P8</f>
        <v>76.266666666666666</v>
      </c>
      <c r="R11" s="642">
        <f>SUM(C11:Q11)</f>
        <v>64834.248189915183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12556.385600617503</v>
      </c>
      <c r="D13" s="639">
        <f>industrie!C18</f>
        <v>1060.7142857142858</v>
      </c>
      <c r="E13" s="639">
        <f>industrie!D18</f>
        <v>23148.044657767783</v>
      </c>
      <c r="F13" s="639">
        <f>industrie!E18</f>
        <v>113.34162942726768</v>
      </c>
      <c r="G13" s="639">
        <f>industrie!F18</f>
        <v>1633.3525227535224</v>
      </c>
      <c r="H13" s="639">
        <f>industrie!G18</f>
        <v>0</v>
      </c>
      <c r="I13" s="639">
        <f>industrie!H18</f>
        <v>0</v>
      </c>
      <c r="J13" s="639">
        <f>industrie!I18</f>
        <v>0</v>
      </c>
      <c r="K13" s="639">
        <f>industrie!J18</f>
        <v>13.93403260762628</v>
      </c>
      <c r="L13" s="639">
        <f>industrie!K18</f>
        <v>0</v>
      </c>
      <c r="M13" s="639">
        <f>industrie!L18</f>
        <v>0</v>
      </c>
      <c r="N13" s="639">
        <f>industrie!M18</f>
        <v>0</v>
      </c>
      <c r="O13" s="639">
        <f>industrie!N18</f>
        <v>0</v>
      </c>
      <c r="P13" s="639">
        <f>industrie!O18</f>
        <v>0</v>
      </c>
      <c r="Q13" s="640">
        <f>industrie!P18</f>
        <v>0</v>
      </c>
      <c r="R13" s="642">
        <f>SUM(C13:Q13)</f>
        <v>38525.772728887991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29670.532978140931</v>
      </c>
      <c r="D16" s="672">
        <f t="shared" ref="D16:R16" ca="1" si="0">SUM(D9:D15)</f>
        <v>1060.7142857142858</v>
      </c>
      <c r="E16" s="672">
        <f t="shared" ca="1" si="0"/>
        <v>61332.4880995696</v>
      </c>
      <c r="F16" s="672">
        <f t="shared" si="0"/>
        <v>706.62463430846822</v>
      </c>
      <c r="G16" s="672">
        <f t="shared" ca="1" si="0"/>
        <v>19063.161642665626</v>
      </c>
      <c r="H16" s="672">
        <f t="shared" si="0"/>
        <v>0</v>
      </c>
      <c r="I16" s="672">
        <f t="shared" si="0"/>
        <v>0</v>
      </c>
      <c r="J16" s="672">
        <f t="shared" si="0"/>
        <v>0</v>
      </c>
      <c r="K16" s="672">
        <f t="shared" si="0"/>
        <v>315.11883497958326</v>
      </c>
      <c r="L16" s="672">
        <f t="shared" si="0"/>
        <v>0</v>
      </c>
      <c r="M16" s="672">
        <f t="shared" ca="1" si="0"/>
        <v>0</v>
      </c>
      <c r="N16" s="672">
        <f t="shared" si="0"/>
        <v>0</v>
      </c>
      <c r="O16" s="672">
        <f t="shared" ca="1" si="0"/>
        <v>3989.0988542932928</v>
      </c>
      <c r="P16" s="672">
        <f t="shared" si="0"/>
        <v>37.520000000000003</v>
      </c>
      <c r="Q16" s="672">
        <f t="shared" si="0"/>
        <v>95.333333333333329</v>
      </c>
      <c r="R16" s="672">
        <f t="shared" ca="1" si="0"/>
        <v>116270.59266300514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2.1380129277019946</v>
      </c>
      <c r="D19" s="639">
        <f>transport!C54</f>
        <v>0</v>
      </c>
      <c r="E19" s="639">
        <f>transport!D54</f>
        <v>0</v>
      </c>
      <c r="F19" s="639">
        <f>transport!E54</f>
        <v>0</v>
      </c>
      <c r="G19" s="639">
        <f>transport!F54</f>
        <v>0</v>
      </c>
      <c r="H19" s="639">
        <f>transport!G54</f>
        <v>426.43090547362277</v>
      </c>
      <c r="I19" s="639">
        <f>transport!H54</f>
        <v>0</v>
      </c>
      <c r="J19" s="639">
        <f>transport!I54</f>
        <v>0</v>
      </c>
      <c r="K19" s="639">
        <f>transport!J54</f>
        <v>0</v>
      </c>
      <c r="L19" s="639">
        <f>transport!K54</f>
        <v>0</v>
      </c>
      <c r="M19" s="639">
        <f>transport!L54</f>
        <v>0</v>
      </c>
      <c r="N19" s="639">
        <f>transport!M54</f>
        <v>18.847791854715034</v>
      </c>
      <c r="O19" s="639">
        <f>transport!N54</f>
        <v>0</v>
      </c>
      <c r="P19" s="639">
        <f>transport!O54</f>
        <v>0</v>
      </c>
      <c r="Q19" s="640">
        <f>transport!P54</f>
        <v>0</v>
      </c>
      <c r="R19" s="642">
        <f>SUM(C19:Q19)</f>
        <v>447.41671025603978</v>
      </c>
      <c r="S19" s="68"/>
    </row>
    <row r="20" spans="1:19" s="443" customFormat="1">
      <c r="A20" s="753" t="s">
        <v>296</v>
      </c>
      <c r="B20" s="758"/>
      <c r="C20" s="639">
        <f>transport!B14</f>
        <v>5.2980333377795557</v>
      </c>
      <c r="D20" s="639">
        <f>transport!C14</f>
        <v>0</v>
      </c>
      <c r="E20" s="639">
        <f>transport!D14</f>
        <v>5.9958792693004108</v>
      </c>
      <c r="F20" s="639">
        <f>transport!E14</f>
        <v>458.00595140955062</v>
      </c>
      <c r="G20" s="639">
        <f>transport!F14</f>
        <v>0</v>
      </c>
      <c r="H20" s="639">
        <f>transport!G14</f>
        <v>102293.36502841463</v>
      </c>
      <c r="I20" s="639">
        <f>transport!H14</f>
        <v>16030.120155014063</v>
      </c>
      <c r="J20" s="639">
        <f>transport!I14</f>
        <v>0</v>
      </c>
      <c r="K20" s="639">
        <f>transport!J14</f>
        <v>0</v>
      </c>
      <c r="L20" s="639">
        <f>transport!K14</f>
        <v>0</v>
      </c>
      <c r="M20" s="639">
        <f>transport!L14</f>
        <v>0</v>
      </c>
      <c r="N20" s="639">
        <f>transport!M14</f>
        <v>5285.876070516164</v>
      </c>
      <c r="O20" s="639">
        <f>transport!N14</f>
        <v>0</v>
      </c>
      <c r="P20" s="639">
        <f>transport!O14</f>
        <v>0</v>
      </c>
      <c r="Q20" s="640">
        <f>transport!P14</f>
        <v>0</v>
      </c>
      <c r="R20" s="642">
        <f>SUM(C20:Q20)</f>
        <v>124078.6611179615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7.4360462654815507</v>
      </c>
      <c r="D22" s="756">
        <f t="shared" ref="D22:R22" si="1">SUM(D18:D21)</f>
        <v>0</v>
      </c>
      <c r="E22" s="756">
        <f t="shared" si="1"/>
        <v>5.9958792693004108</v>
      </c>
      <c r="F22" s="756">
        <f t="shared" si="1"/>
        <v>458.00595140955062</v>
      </c>
      <c r="G22" s="756">
        <f t="shared" si="1"/>
        <v>0</v>
      </c>
      <c r="H22" s="756">
        <f t="shared" si="1"/>
        <v>102719.79593388825</v>
      </c>
      <c r="I22" s="756">
        <f t="shared" si="1"/>
        <v>16030.120155014063</v>
      </c>
      <c r="J22" s="756">
        <f t="shared" si="1"/>
        <v>0</v>
      </c>
      <c r="K22" s="756">
        <f t="shared" si="1"/>
        <v>0</v>
      </c>
      <c r="L22" s="756">
        <f t="shared" si="1"/>
        <v>0</v>
      </c>
      <c r="M22" s="756">
        <f t="shared" si="1"/>
        <v>0</v>
      </c>
      <c r="N22" s="756">
        <f t="shared" si="1"/>
        <v>5304.723862370879</v>
      </c>
      <c r="O22" s="756">
        <f t="shared" si="1"/>
        <v>0</v>
      </c>
      <c r="P22" s="756">
        <f t="shared" si="1"/>
        <v>0</v>
      </c>
      <c r="Q22" s="756">
        <f t="shared" si="1"/>
        <v>0</v>
      </c>
      <c r="R22" s="756">
        <f t="shared" si="1"/>
        <v>124526.07782821755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551.63244210956202</v>
      </c>
      <c r="D24" s="639">
        <f>+landbouw!C8</f>
        <v>0</v>
      </c>
      <c r="E24" s="639">
        <f>+landbouw!D8</f>
        <v>132.8860964581433</v>
      </c>
      <c r="F24" s="639">
        <f>+landbouw!E8</f>
        <v>5.4474707675735718</v>
      </c>
      <c r="G24" s="639">
        <f>+landbouw!F8</f>
        <v>1840.3917877013478</v>
      </c>
      <c r="H24" s="639">
        <f>+landbouw!G8</f>
        <v>0</v>
      </c>
      <c r="I24" s="639">
        <f>+landbouw!H8</f>
        <v>0</v>
      </c>
      <c r="J24" s="639">
        <f>+landbouw!I8</f>
        <v>0</v>
      </c>
      <c r="K24" s="639">
        <f>+landbouw!J8</f>
        <v>55.036174489964225</v>
      </c>
      <c r="L24" s="639">
        <f>+landbouw!K8</f>
        <v>0</v>
      </c>
      <c r="M24" s="639">
        <f>+landbouw!L8</f>
        <v>0</v>
      </c>
      <c r="N24" s="639">
        <f>+landbouw!M8</f>
        <v>0</v>
      </c>
      <c r="O24" s="639">
        <f>+landbouw!N8</f>
        <v>0</v>
      </c>
      <c r="P24" s="639">
        <f>+landbouw!O8</f>
        <v>0</v>
      </c>
      <c r="Q24" s="640">
        <f>+landbouw!P8</f>
        <v>0</v>
      </c>
      <c r="R24" s="642">
        <f>SUM(C24:Q24)</f>
        <v>2585.393971526591</v>
      </c>
      <c r="S24" s="68"/>
    </row>
    <row r="25" spans="1:19" s="443" customFormat="1" ht="15" thickBot="1">
      <c r="A25" s="775" t="s">
        <v>847</v>
      </c>
      <c r="B25" s="941"/>
      <c r="C25" s="942">
        <f>IF(Onbekend_ele_kWh="---",0,Onbekend_ele_kWh)/1000+IF(REST_rest_ele_kWh="---",0,REST_rest_ele_kWh)/1000</f>
        <v>436.607973431939</v>
      </c>
      <c r="D25" s="942"/>
      <c r="E25" s="942">
        <f>IF(onbekend_gas_kWh="---",0,onbekend_gas_kWh)/1000+IF(REST_rest_gas_kWh="---",0,REST_rest_gas_kWh)/1000</f>
        <v>1039.0752038112701</v>
      </c>
      <c r="F25" s="942"/>
      <c r="G25" s="942"/>
      <c r="H25" s="942"/>
      <c r="I25" s="942"/>
      <c r="J25" s="942"/>
      <c r="K25" s="942"/>
      <c r="L25" s="942"/>
      <c r="M25" s="942"/>
      <c r="N25" s="942"/>
      <c r="O25" s="942"/>
      <c r="P25" s="942"/>
      <c r="Q25" s="943"/>
      <c r="R25" s="642">
        <f>SUM(C25:Q25)</f>
        <v>1475.683177243209</v>
      </c>
      <c r="S25" s="68"/>
    </row>
    <row r="26" spans="1:19" s="443" customFormat="1" ht="15.75" thickBot="1">
      <c r="A26" s="645" t="s">
        <v>848</v>
      </c>
      <c r="B26" s="761"/>
      <c r="C26" s="756">
        <f>SUM(C24:C25)</f>
        <v>988.24041554150108</v>
      </c>
      <c r="D26" s="756">
        <f t="shared" ref="D26:R26" si="2">SUM(D24:D25)</f>
        <v>0</v>
      </c>
      <c r="E26" s="756">
        <f t="shared" si="2"/>
        <v>1171.9613002694134</v>
      </c>
      <c r="F26" s="756">
        <f t="shared" si="2"/>
        <v>5.4474707675735718</v>
      </c>
      <c r="G26" s="756">
        <f t="shared" si="2"/>
        <v>1840.3917877013478</v>
      </c>
      <c r="H26" s="756">
        <f t="shared" si="2"/>
        <v>0</v>
      </c>
      <c r="I26" s="756">
        <f t="shared" si="2"/>
        <v>0</v>
      </c>
      <c r="J26" s="756">
        <f t="shared" si="2"/>
        <v>0</v>
      </c>
      <c r="K26" s="756">
        <f t="shared" si="2"/>
        <v>55.036174489964225</v>
      </c>
      <c r="L26" s="756">
        <f t="shared" si="2"/>
        <v>0</v>
      </c>
      <c r="M26" s="756">
        <f t="shared" si="2"/>
        <v>0</v>
      </c>
      <c r="N26" s="756">
        <f t="shared" si="2"/>
        <v>0</v>
      </c>
      <c r="O26" s="756">
        <f t="shared" si="2"/>
        <v>0</v>
      </c>
      <c r="P26" s="756">
        <f t="shared" si="2"/>
        <v>0</v>
      </c>
      <c r="Q26" s="756">
        <f t="shared" si="2"/>
        <v>0</v>
      </c>
      <c r="R26" s="756">
        <f t="shared" si="2"/>
        <v>4061.0771487698003</v>
      </c>
      <c r="S26" s="68"/>
    </row>
    <row r="27" spans="1:19" s="443" customFormat="1" ht="17.25" thickTop="1" thickBot="1">
      <c r="A27" s="646" t="s">
        <v>109</v>
      </c>
      <c r="B27" s="748"/>
      <c r="C27" s="647">
        <f ca="1">C22+C16+C26</f>
        <v>30666.209439947914</v>
      </c>
      <c r="D27" s="647">
        <f t="shared" ref="D27:R27" ca="1" si="3">D22+D16+D26</f>
        <v>1060.7142857142858</v>
      </c>
      <c r="E27" s="647">
        <f t="shared" ca="1" si="3"/>
        <v>62510.445279108317</v>
      </c>
      <c r="F27" s="647">
        <f t="shared" si="3"/>
        <v>1170.0780564855925</v>
      </c>
      <c r="G27" s="647">
        <f t="shared" ca="1" si="3"/>
        <v>20903.553430366974</v>
      </c>
      <c r="H27" s="647">
        <f t="shared" si="3"/>
        <v>102719.79593388825</v>
      </c>
      <c r="I27" s="647">
        <f t="shared" si="3"/>
        <v>16030.120155014063</v>
      </c>
      <c r="J27" s="647">
        <f t="shared" si="3"/>
        <v>0</v>
      </c>
      <c r="K27" s="647">
        <f t="shared" si="3"/>
        <v>370.15500946954751</v>
      </c>
      <c r="L27" s="647">
        <f t="shared" si="3"/>
        <v>0</v>
      </c>
      <c r="M27" s="647">
        <f t="shared" ca="1" si="3"/>
        <v>0</v>
      </c>
      <c r="N27" s="647">
        <f t="shared" si="3"/>
        <v>5304.723862370879</v>
      </c>
      <c r="O27" s="647">
        <f t="shared" ca="1" si="3"/>
        <v>3989.0988542932928</v>
      </c>
      <c r="P27" s="647">
        <f t="shared" si="3"/>
        <v>37.520000000000003</v>
      </c>
      <c r="Q27" s="647">
        <f t="shared" si="3"/>
        <v>95.333333333333329</v>
      </c>
      <c r="R27" s="647">
        <f t="shared" ca="1" si="3"/>
        <v>244857.74763999251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1039.8634024727535</v>
      </c>
      <c r="D40" s="639">
        <f ca="1">tertiair!C20</f>
        <v>0</v>
      </c>
      <c r="E40" s="639">
        <f ca="1">tertiair!D20</f>
        <v>1375.3601888563992</v>
      </c>
      <c r="F40" s="639">
        <f>tertiair!E20</f>
        <v>11.082146472318584</v>
      </c>
      <c r="G40" s="639">
        <f ca="1">tertiair!F20</f>
        <v>221.80055991157715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2648.1062977130482</v>
      </c>
    </row>
    <row r="41" spans="1:18">
      <c r="A41" s="766" t="s">
        <v>214</v>
      </c>
      <c r="B41" s="773"/>
      <c r="C41" s="639">
        <f ca="1">huishoudens!B12</f>
        <v>2487.9357234040426</v>
      </c>
      <c r="D41" s="639">
        <f ca="1">huishoudens!C12</f>
        <v>0</v>
      </c>
      <c r="E41" s="639">
        <f>huishoudens!D12</f>
        <v>6337.897386387569</v>
      </c>
      <c r="F41" s="639">
        <f>huishoudens!E12</f>
        <v>123.59309563571394</v>
      </c>
      <c r="G41" s="639">
        <f>huishoudens!F12</f>
        <v>4431.9584751049551</v>
      </c>
      <c r="H41" s="639">
        <f>huishoudens!G12</f>
        <v>0</v>
      </c>
      <c r="I41" s="639">
        <f>huishoudens!H12</f>
        <v>0</v>
      </c>
      <c r="J41" s="639">
        <f>huishoudens!I12</f>
        <v>0</v>
      </c>
      <c r="K41" s="639">
        <f>huishoudens!J12</f>
        <v>106.61942003967276</v>
      </c>
      <c r="L41" s="639">
        <f>huishoudens!K12</f>
        <v>0</v>
      </c>
      <c r="M41" s="639">
        <f>huishoudens!L12</f>
        <v>0</v>
      </c>
      <c r="N41" s="639">
        <f>huishoudens!M12</f>
        <v>0</v>
      </c>
      <c r="O41" s="639">
        <f>huishoudens!N12</f>
        <v>0</v>
      </c>
      <c r="P41" s="639">
        <f>huishoudens!O12</f>
        <v>0</v>
      </c>
      <c r="Q41" s="714">
        <f>huishoudens!P12</f>
        <v>0</v>
      </c>
      <c r="R41" s="794">
        <f t="shared" ca="1" si="4"/>
        <v>13488.004100571954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2588.2917313313751</v>
      </c>
      <c r="D43" s="639">
        <f ca="1">industrie!C22</f>
        <v>0</v>
      </c>
      <c r="E43" s="639">
        <f>industrie!D22</f>
        <v>4675.9050208690924</v>
      </c>
      <c r="F43" s="639">
        <f>industrie!E22</f>
        <v>25.728549879989764</v>
      </c>
      <c r="G43" s="639">
        <f>industrie!F22</f>
        <v>436.10512357519053</v>
      </c>
      <c r="H43" s="639">
        <f>industrie!G22</f>
        <v>0</v>
      </c>
      <c r="I43" s="639">
        <f>industrie!H22</f>
        <v>0</v>
      </c>
      <c r="J43" s="639">
        <f>industrie!I22</f>
        <v>0</v>
      </c>
      <c r="K43" s="639">
        <f>industrie!J22</f>
        <v>4.9326475430997032</v>
      </c>
      <c r="L43" s="639">
        <f>industrie!K22</f>
        <v>0</v>
      </c>
      <c r="M43" s="639">
        <f>industrie!L22</f>
        <v>0</v>
      </c>
      <c r="N43" s="639">
        <f>industrie!M22</f>
        <v>0</v>
      </c>
      <c r="O43" s="639">
        <f>industrie!N22</f>
        <v>0</v>
      </c>
      <c r="P43" s="639">
        <f>industrie!O22</f>
        <v>0</v>
      </c>
      <c r="Q43" s="714">
        <f>industrie!P22</f>
        <v>0</v>
      </c>
      <c r="R43" s="793">
        <f t="shared" ca="1" si="4"/>
        <v>7730.9630731987472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6116.0908572081717</v>
      </c>
      <c r="D46" s="672">
        <f t="shared" ref="D46:Q46" ca="1" si="5">SUM(D39:D45)</f>
        <v>0</v>
      </c>
      <c r="E46" s="672">
        <f t="shared" ca="1" si="5"/>
        <v>12389.162596113059</v>
      </c>
      <c r="F46" s="672">
        <f t="shared" si="5"/>
        <v>160.40379198802231</v>
      </c>
      <c r="G46" s="672">
        <f t="shared" ca="1" si="5"/>
        <v>5089.8641585917221</v>
      </c>
      <c r="H46" s="672">
        <f t="shared" si="5"/>
        <v>0</v>
      </c>
      <c r="I46" s="672">
        <f t="shared" si="5"/>
        <v>0</v>
      </c>
      <c r="J46" s="672">
        <f t="shared" si="5"/>
        <v>0</v>
      </c>
      <c r="K46" s="672">
        <f t="shared" si="5"/>
        <v>111.55206758277247</v>
      </c>
      <c r="L46" s="672">
        <f t="shared" si="5"/>
        <v>0</v>
      </c>
      <c r="M46" s="672">
        <f t="shared" ca="1" si="5"/>
        <v>0</v>
      </c>
      <c r="N46" s="672">
        <f t="shared" si="5"/>
        <v>0</v>
      </c>
      <c r="O46" s="672">
        <f t="shared" ca="1" si="5"/>
        <v>0</v>
      </c>
      <c r="P46" s="672">
        <f t="shared" si="5"/>
        <v>0</v>
      </c>
      <c r="Q46" s="672">
        <f t="shared" si="5"/>
        <v>0</v>
      </c>
      <c r="R46" s="672">
        <f ca="1">SUM(R39:R45)</f>
        <v>23867.073471483749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0.4407160912594556</v>
      </c>
      <c r="D49" s="639">
        <f ca="1">transport!C58</f>
        <v>0</v>
      </c>
      <c r="E49" s="639">
        <f>transport!D58</f>
        <v>0</v>
      </c>
      <c r="F49" s="639">
        <f>transport!E58</f>
        <v>0</v>
      </c>
      <c r="G49" s="639">
        <f>transport!F58</f>
        <v>0</v>
      </c>
      <c r="H49" s="639">
        <f>transport!G58</f>
        <v>113.85705176145729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114.29776785271675</v>
      </c>
    </row>
    <row r="50" spans="1:18">
      <c r="A50" s="769" t="s">
        <v>296</v>
      </c>
      <c r="B50" s="779"/>
      <c r="C50" s="948">
        <f ca="1">transport!B18</f>
        <v>1.0921021635253392</v>
      </c>
      <c r="D50" s="948">
        <f>transport!C18</f>
        <v>0</v>
      </c>
      <c r="E50" s="948">
        <f>transport!D18</f>
        <v>1.211167612398683</v>
      </c>
      <c r="F50" s="948">
        <f>transport!E18</f>
        <v>103.967350969968</v>
      </c>
      <c r="G50" s="948">
        <f>transport!F18</f>
        <v>0</v>
      </c>
      <c r="H50" s="948">
        <f>transport!G18</f>
        <v>27312.328462586705</v>
      </c>
      <c r="I50" s="948">
        <f>transport!H18</f>
        <v>3991.4999185985016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31410.099001931099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1.5328182547847948</v>
      </c>
      <c r="D52" s="672">
        <f t="shared" ref="D52:Q52" ca="1" si="6">SUM(D48:D51)</f>
        <v>0</v>
      </c>
      <c r="E52" s="672">
        <f t="shared" si="6"/>
        <v>1.211167612398683</v>
      </c>
      <c r="F52" s="672">
        <f t="shared" si="6"/>
        <v>103.967350969968</v>
      </c>
      <c r="G52" s="672">
        <f t="shared" si="6"/>
        <v>0</v>
      </c>
      <c r="H52" s="672">
        <f t="shared" si="6"/>
        <v>27426.185514348163</v>
      </c>
      <c r="I52" s="672">
        <f t="shared" si="6"/>
        <v>3991.4999185985016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31524.396769783816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113.70992688979673</v>
      </c>
      <c r="D54" s="948">
        <f ca="1">+landbouw!C12</f>
        <v>0</v>
      </c>
      <c r="E54" s="948">
        <f>+landbouw!D12</f>
        <v>26.84299148454495</v>
      </c>
      <c r="F54" s="948">
        <f>+landbouw!E12</f>
        <v>1.2365758642392009</v>
      </c>
      <c r="G54" s="948">
        <f>+landbouw!F12</f>
        <v>491.38460731625986</v>
      </c>
      <c r="H54" s="948">
        <f>+landbouw!G12</f>
        <v>0</v>
      </c>
      <c r="I54" s="948">
        <f>+landbouw!H12</f>
        <v>0</v>
      </c>
      <c r="J54" s="948">
        <f>+landbouw!I12</f>
        <v>0</v>
      </c>
      <c r="K54" s="948">
        <f>+landbouw!J12</f>
        <v>19.482805769447335</v>
      </c>
      <c r="L54" s="948">
        <f>+landbouw!K12</f>
        <v>0</v>
      </c>
      <c r="M54" s="948">
        <f>+landbouw!L12</f>
        <v>0</v>
      </c>
      <c r="N54" s="948">
        <f>+landbouw!M12</f>
        <v>0</v>
      </c>
      <c r="O54" s="948">
        <f>+landbouw!N12</f>
        <v>0</v>
      </c>
      <c r="P54" s="948">
        <f>+landbouw!O12</f>
        <v>0</v>
      </c>
      <c r="Q54" s="949">
        <f>+landbouw!P12</f>
        <v>0</v>
      </c>
      <c r="R54" s="671">
        <f ca="1">SUM(C54:Q54)</f>
        <v>652.656907324288</v>
      </c>
    </row>
    <row r="55" spans="1:18" ht="15" thickBot="1">
      <c r="A55" s="769" t="s">
        <v>847</v>
      </c>
      <c r="B55" s="779"/>
      <c r="C55" s="948">
        <f ca="1">C25*'EF ele_warmte'!B12</f>
        <v>89.999530391266532</v>
      </c>
      <c r="D55" s="948"/>
      <c r="E55" s="948">
        <f>E25*EF_CO2_aardgas</f>
        <v>209.89319116987656</v>
      </c>
      <c r="F55" s="948"/>
      <c r="G55" s="948"/>
      <c r="H55" s="948"/>
      <c r="I55" s="948"/>
      <c r="J55" s="948"/>
      <c r="K55" s="948"/>
      <c r="L55" s="948"/>
      <c r="M55" s="948"/>
      <c r="N55" s="948"/>
      <c r="O55" s="948"/>
      <c r="P55" s="948"/>
      <c r="Q55" s="949"/>
      <c r="R55" s="671">
        <f ca="1">SUM(C55:Q55)</f>
        <v>299.89272156114311</v>
      </c>
    </row>
    <row r="56" spans="1:18" ht="15.75" thickBot="1">
      <c r="A56" s="767" t="s">
        <v>848</v>
      </c>
      <c r="B56" s="780"/>
      <c r="C56" s="672">
        <f ca="1">SUM(C54:C55)</f>
        <v>203.70945728106327</v>
      </c>
      <c r="D56" s="672">
        <f t="shared" ref="D56:Q56" ca="1" si="7">SUM(D54:D55)</f>
        <v>0</v>
      </c>
      <c r="E56" s="672">
        <f t="shared" si="7"/>
        <v>236.7361826544215</v>
      </c>
      <c r="F56" s="672">
        <f t="shared" si="7"/>
        <v>1.2365758642392009</v>
      </c>
      <c r="G56" s="672">
        <f t="shared" si="7"/>
        <v>491.38460731625986</v>
      </c>
      <c r="H56" s="672">
        <f t="shared" si="7"/>
        <v>0</v>
      </c>
      <c r="I56" s="672">
        <f t="shared" si="7"/>
        <v>0</v>
      </c>
      <c r="J56" s="672">
        <f t="shared" si="7"/>
        <v>0</v>
      </c>
      <c r="K56" s="672">
        <f t="shared" si="7"/>
        <v>19.482805769447335</v>
      </c>
      <c r="L56" s="672">
        <f t="shared" si="7"/>
        <v>0</v>
      </c>
      <c r="M56" s="672">
        <f t="shared" si="7"/>
        <v>0</v>
      </c>
      <c r="N56" s="672">
        <f t="shared" si="7"/>
        <v>0</v>
      </c>
      <c r="O56" s="672">
        <f t="shared" si="7"/>
        <v>0</v>
      </c>
      <c r="P56" s="672">
        <f t="shared" si="7"/>
        <v>0</v>
      </c>
      <c r="Q56" s="673">
        <f t="shared" si="7"/>
        <v>0</v>
      </c>
      <c r="R56" s="674">
        <f ca="1">SUM(R54:R55)</f>
        <v>952.54962888543105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6321.3331327440192</v>
      </c>
      <c r="D61" s="680">
        <f t="shared" ref="D61:Q61" ca="1" si="8">D46+D52+D56</f>
        <v>0</v>
      </c>
      <c r="E61" s="680">
        <f t="shared" ca="1" si="8"/>
        <v>12627.10994637988</v>
      </c>
      <c r="F61" s="680">
        <f t="shared" si="8"/>
        <v>265.60771882222951</v>
      </c>
      <c r="G61" s="680">
        <f t="shared" ca="1" si="8"/>
        <v>5581.2487659079816</v>
      </c>
      <c r="H61" s="680">
        <f t="shared" si="8"/>
        <v>27426.185514348163</v>
      </c>
      <c r="I61" s="680">
        <f t="shared" si="8"/>
        <v>3991.4999185985016</v>
      </c>
      <c r="J61" s="680">
        <f t="shared" si="8"/>
        <v>0</v>
      </c>
      <c r="K61" s="680">
        <f t="shared" si="8"/>
        <v>131.03487335221979</v>
      </c>
      <c r="L61" s="680">
        <f t="shared" si="8"/>
        <v>0</v>
      </c>
      <c r="M61" s="680">
        <f t="shared" ca="1" si="8"/>
        <v>0</v>
      </c>
      <c r="N61" s="680">
        <f t="shared" si="8"/>
        <v>0</v>
      </c>
      <c r="O61" s="680">
        <f t="shared" ca="1" si="8"/>
        <v>0</v>
      </c>
      <c r="P61" s="680">
        <f t="shared" si="8"/>
        <v>0</v>
      </c>
      <c r="Q61" s="680">
        <f t="shared" si="8"/>
        <v>0</v>
      </c>
      <c r="R61" s="680">
        <f ca="1">R46+R52+R56</f>
        <v>56344.019870153003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0.20613350160288854</v>
      </c>
      <c r="D63" s="724">
        <f t="shared" ca="1" si="9"/>
        <v>0</v>
      </c>
      <c r="E63" s="950">
        <f t="shared" ca="1" si="9"/>
        <v>0.20200000000000001</v>
      </c>
      <c r="F63" s="724">
        <f t="shared" si="9"/>
        <v>0.22700000000000001</v>
      </c>
      <c r="G63" s="724">
        <f t="shared" ca="1" si="9"/>
        <v>0.26699999999999996</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12</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1308.3920972147889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742.5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873.52941176470586</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2062.8920972147889</v>
      </c>
      <c r="C78" s="695">
        <f>SUM(C72:C77)</f>
        <v>0</v>
      </c>
      <c r="D78" s="696">
        <f t="shared" ref="D78:H78" si="10">SUM(D76:D77)</f>
        <v>0</v>
      </c>
      <c r="E78" s="696">
        <f t="shared" si="10"/>
        <v>0</v>
      </c>
      <c r="F78" s="696">
        <f t="shared" si="10"/>
        <v>0</v>
      </c>
      <c r="G78" s="696">
        <f t="shared" si="10"/>
        <v>0</v>
      </c>
      <c r="H78" s="696">
        <f t="shared" si="10"/>
        <v>0</v>
      </c>
      <c r="I78" s="696">
        <f>SUM(I76:I77)</f>
        <v>0</v>
      </c>
      <c r="J78" s="696">
        <f>SUM(J76:J77)</f>
        <v>873.52941176470586</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1060.7142857142858</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1247.8991596638657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1060.7142857142858</v>
      </c>
      <c r="C90" s="695">
        <f>SUM(C87:C89)</f>
        <v>0</v>
      </c>
      <c r="D90" s="695">
        <f t="shared" ref="D90:H90" si="12">SUM(D87:D89)</f>
        <v>0</v>
      </c>
      <c r="E90" s="695">
        <f t="shared" si="12"/>
        <v>0</v>
      </c>
      <c r="F90" s="695">
        <f t="shared" si="12"/>
        <v>0</v>
      </c>
      <c r="G90" s="695">
        <f t="shared" si="12"/>
        <v>0</v>
      </c>
      <c r="H90" s="695">
        <f t="shared" si="12"/>
        <v>0</v>
      </c>
      <c r="I90" s="695">
        <f>SUM(I87:I89)</f>
        <v>0</v>
      </c>
      <c r="J90" s="695">
        <f>SUM(J87:J89)</f>
        <v>1247.8991596638657</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12069.536024265446</v>
      </c>
      <c r="C4" s="447">
        <f>huishoudens!C8</f>
        <v>0</v>
      </c>
      <c r="D4" s="447">
        <f>huishoudens!D8</f>
        <v>31375.729635582022</v>
      </c>
      <c r="E4" s="447">
        <f>huishoudens!E8</f>
        <v>544.46297636878387</v>
      </c>
      <c r="F4" s="447">
        <f>huishoudens!F8</f>
        <v>16599.095412378108</v>
      </c>
      <c r="G4" s="447">
        <f>huishoudens!G8</f>
        <v>0</v>
      </c>
      <c r="H4" s="447">
        <f>huishoudens!H8</f>
        <v>0</v>
      </c>
      <c r="I4" s="447">
        <f>huishoudens!I8</f>
        <v>0</v>
      </c>
      <c r="J4" s="447">
        <f>huishoudens!J8</f>
        <v>301.18480237195695</v>
      </c>
      <c r="K4" s="447">
        <f>huishoudens!K8</f>
        <v>0</v>
      </c>
      <c r="L4" s="447">
        <f>huishoudens!L8</f>
        <v>0</v>
      </c>
      <c r="M4" s="447">
        <f>huishoudens!M8</f>
        <v>0</v>
      </c>
      <c r="N4" s="447">
        <f>huishoudens!N8</f>
        <v>3830.4526722821929</v>
      </c>
      <c r="O4" s="447">
        <f>huishoudens!O8</f>
        <v>37.520000000000003</v>
      </c>
      <c r="P4" s="448">
        <f>huishoudens!P8</f>
        <v>76.266666666666666</v>
      </c>
      <c r="Q4" s="449">
        <f>SUM(B4:P4)</f>
        <v>64834.248189915183</v>
      </c>
    </row>
    <row r="5" spans="1:17">
      <c r="A5" s="446" t="s">
        <v>149</v>
      </c>
      <c r="B5" s="447">
        <f ca="1">tertiair!B16</f>
        <v>4654.9463532579784</v>
      </c>
      <c r="C5" s="447">
        <f ca="1">tertiair!C16</f>
        <v>0</v>
      </c>
      <c r="D5" s="447">
        <f ca="1">tertiair!D16</f>
        <v>6808.7138062197973</v>
      </c>
      <c r="E5" s="447">
        <f>tertiair!E16</f>
        <v>48.82002851241667</v>
      </c>
      <c r="F5" s="447">
        <f ca="1">tertiair!F16</f>
        <v>830.71370753399674</v>
      </c>
      <c r="G5" s="447">
        <f>tertiair!G16</f>
        <v>0</v>
      </c>
      <c r="H5" s="447">
        <f>tertiair!H16</f>
        <v>0</v>
      </c>
      <c r="I5" s="447">
        <f>tertiair!I16</f>
        <v>0</v>
      </c>
      <c r="J5" s="447">
        <f>tertiair!J16</f>
        <v>0</v>
      </c>
      <c r="K5" s="447">
        <f>tertiair!K16</f>
        <v>0</v>
      </c>
      <c r="L5" s="447">
        <f ca="1">tertiair!L16</f>
        <v>0</v>
      </c>
      <c r="M5" s="447">
        <f>tertiair!M16</f>
        <v>0</v>
      </c>
      <c r="N5" s="447">
        <f ca="1">tertiair!N16</f>
        <v>158.64618201109988</v>
      </c>
      <c r="O5" s="447">
        <f>tertiair!O16</f>
        <v>0</v>
      </c>
      <c r="P5" s="448">
        <f>tertiair!P16</f>
        <v>19.066666666666666</v>
      </c>
      <c r="Q5" s="446">
        <f t="shared" ref="Q5:Q14" ca="1" si="0">SUM(B5:P5)</f>
        <v>12520.906744201955</v>
      </c>
    </row>
    <row r="6" spans="1:17">
      <c r="A6" s="446" t="s">
        <v>187</v>
      </c>
      <c r="B6" s="447">
        <f>'openbare verlichting'!B8</f>
        <v>389.66500000000002</v>
      </c>
      <c r="C6" s="447"/>
      <c r="D6" s="447"/>
      <c r="E6" s="447"/>
      <c r="F6" s="447"/>
      <c r="G6" s="447"/>
      <c r="H6" s="447"/>
      <c r="I6" s="447"/>
      <c r="J6" s="447"/>
      <c r="K6" s="447"/>
      <c r="L6" s="447"/>
      <c r="M6" s="447"/>
      <c r="N6" s="447"/>
      <c r="O6" s="447"/>
      <c r="P6" s="448"/>
      <c r="Q6" s="446">
        <f t="shared" si="0"/>
        <v>389.66500000000002</v>
      </c>
    </row>
    <row r="7" spans="1:17">
      <c r="A7" s="446" t="s">
        <v>105</v>
      </c>
      <c r="B7" s="447">
        <f>landbouw!B8</f>
        <v>551.63244210956202</v>
      </c>
      <c r="C7" s="447">
        <f>landbouw!C8</f>
        <v>0</v>
      </c>
      <c r="D7" s="447">
        <f>landbouw!D8</f>
        <v>132.8860964581433</v>
      </c>
      <c r="E7" s="447">
        <f>landbouw!E8</f>
        <v>5.4474707675735718</v>
      </c>
      <c r="F7" s="447">
        <f>landbouw!F8</f>
        <v>1840.3917877013478</v>
      </c>
      <c r="G7" s="447">
        <f>landbouw!G8</f>
        <v>0</v>
      </c>
      <c r="H7" s="447">
        <f>landbouw!H8</f>
        <v>0</v>
      </c>
      <c r="I7" s="447">
        <f>landbouw!I8</f>
        <v>0</v>
      </c>
      <c r="J7" s="447">
        <f>landbouw!J8</f>
        <v>55.036174489964225</v>
      </c>
      <c r="K7" s="447">
        <f>landbouw!K8</f>
        <v>0</v>
      </c>
      <c r="L7" s="447">
        <f>landbouw!L8</f>
        <v>0</v>
      </c>
      <c r="M7" s="447">
        <f>landbouw!M8</f>
        <v>0</v>
      </c>
      <c r="N7" s="447">
        <f>landbouw!N8</f>
        <v>0</v>
      </c>
      <c r="O7" s="447">
        <f>landbouw!O8</f>
        <v>0</v>
      </c>
      <c r="P7" s="448">
        <f>landbouw!P8</f>
        <v>0</v>
      </c>
      <c r="Q7" s="446">
        <f t="shared" si="0"/>
        <v>2585.393971526591</v>
      </c>
    </row>
    <row r="8" spans="1:17">
      <c r="A8" s="446" t="s">
        <v>640</v>
      </c>
      <c r="B8" s="447">
        <f>industrie!B18</f>
        <v>12556.385600617503</v>
      </c>
      <c r="C8" s="447">
        <f>industrie!C18</f>
        <v>1060.7142857142858</v>
      </c>
      <c r="D8" s="447">
        <f>industrie!D18</f>
        <v>23148.044657767783</v>
      </c>
      <c r="E8" s="447">
        <f>industrie!E18</f>
        <v>113.34162942726768</v>
      </c>
      <c r="F8" s="447">
        <f>industrie!F18</f>
        <v>1633.3525227535224</v>
      </c>
      <c r="G8" s="447">
        <f>industrie!G18</f>
        <v>0</v>
      </c>
      <c r="H8" s="447">
        <f>industrie!H18</f>
        <v>0</v>
      </c>
      <c r="I8" s="447">
        <f>industrie!I18</f>
        <v>0</v>
      </c>
      <c r="J8" s="447">
        <f>industrie!J18</f>
        <v>13.93403260762628</v>
      </c>
      <c r="K8" s="447">
        <f>industrie!K18</f>
        <v>0</v>
      </c>
      <c r="L8" s="447">
        <f>industrie!L18</f>
        <v>0</v>
      </c>
      <c r="M8" s="447">
        <f>industrie!M18</f>
        <v>0</v>
      </c>
      <c r="N8" s="447">
        <f>industrie!N18</f>
        <v>0</v>
      </c>
      <c r="O8" s="447">
        <f>industrie!O18</f>
        <v>0</v>
      </c>
      <c r="P8" s="448">
        <f>industrie!P18</f>
        <v>0</v>
      </c>
      <c r="Q8" s="446">
        <f t="shared" si="0"/>
        <v>38525.772728887991</v>
      </c>
    </row>
    <row r="9" spans="1:17" s="452" customFormat="1">
      <c r="A9" s="450" t="s">
        <v>560</v>
      </c>
      <c r="B9" s="451">
        <f>transport!B14</f>
        <v>5.2980333377795557</v>
      </c>
      <c r="C9" s="451">
        <f>transport!C14</f>
        <v>0</v>
      </c>
      <c r="D9" s="451">
        <f>transport!D14</f>
        <v>5.9958792693004108</v>
      </c>
      <c r="E9" s="451">
        <f>transport!E14</f>
        <v>458.00595140955062</v>
      </c>
      <c r="F9" s="451">
        <f>transport!F14</f>
        <v>0</v>
      </c>
      <c r="G9" s="451">
        <f>transport!G14</f>
        <v>102293.36502841463</v>
      </c>
      <c r="H9" s="451">
        <f>transport!H14</f>
        <v>16030.120155014063</v>
      </c>
      <c r="I9" s="451">
        <f>transport!I14</f>
        <v>0</v>
      </c>
      <c r="J9" s="451">
        <f>transport!J14</f>
        <v>0</v>
      </c>
      <c r="K9" s="451">
        <f>transport!K14</f>
        <v>0</v>
      </c>
      <c r="L9" s="451">
        <f>transport!L14</f>
        <v>0</v>
      </c>
      <c r="M9" s="451">
        <f>transport!M14</f>
        <v>5285.876070516164</v>
      </c>
      <c r="N9" s="451">
        <f>transport!N14</f>
        <v>0</v>
      </c>
      <c r="O9" s="451">
        <f>transport!O14</f>
        <v>0</v>
      </c>
      <c r="P9" s="451">
        <f>transport!P14</f>
        <v>0</v>
      </c>
      <c r="Q9" s="450">
        <f>SUM(B9:P9)</f>
        <v>124078.6611179615</v>
      </c>
    </row>
    <row r="10" spans="1:17">
      <c r="A10" s="446" t="s">
        <v>550</v>
      </c>
      <c r="B10" s="447">
        <f>transport!B54</f>
        <v>2.1380129277019946</v>
      </c>
      <c r="C10" s="447">
        <f>transport!C54</f>
        <v>0</v>
      </c>
      <c r="D10" s="447">
        <f>transport!D54</f>
        <v>0</v>
      </c>
      <c r="E10" s="447">
        <f>transport!E54</f>
        <v>0</v>
      </c>
      <c r="F10" s="447">
        <f>transport!F54</f>
        <v>0</v>
      </c>
      <c r="G10" s="447">
        <f>transport!G54</f>
        <v>426.43090547362277</v>
      </c>
      <c r="H10" s="447">
        <f>transport!H54</f>
        <v>0</v>
      </c>
      <c r="I10" s="447">
        <f>transport!I54</f>
        <v>0</v>
      </c>
      <c r="J10" s="447">
        <f>transport!J54</f>
        <v>0</v>
      </c>
      <c r="K10" s="447">
        <f>transport!K54</f>
        <v>0</v>
      </c>
      <c r="L10" s="447">
        <f>transport!L54</f>
        <v>0</v>
      </c>
      <c r="M10" s="447">
        <f>transport!M54</f>
        <v>18.847791854715034</v>
      </c>
      <c r="N10" s="447">
        <f>transport!N54</f>
        <v>0</v>
      </c>
      <c r="O10" s="447">
        <f>transport!O54</f>
        <v>0</v>
      </c>
      <c r="P10" s="448">
        <f>transport!P54</f>
        <v>0</v>
      </c>
      <c r="Q10" s="446">
        <f t="shared" si="0"/>
        <v>447.41671025603978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436.607973431939</v>
      </c>
      <c r="C14" s="454"/>
      <c r="D14" s="454">
        <f>'SEAP template'!E25</f>
        <v>1039.0752038112701</v>
      </c>
      <c r="E14" s="454"/>
      <c r="F14" s="454"/>
      <c r="G14" s="454"/>
      <c r="H14" s="454"/>
      <c r="I14" s="454"/>
      <c r="J14" s="454"/>
      <c r="K14" s="454"/>
      <c r="L14" s="454"/>
      <c r="M14" s="454"/>
      <c r="N14" s="454"/>
      <c r="O14" s="454"/>
      <c r="P14" s="455"/>
      <c r="Q14" s="446">
        <f t="shared" si="0"/>
        <v>1475.683177243209</v>
      </c>
    </row>
    <row r="15" spans="1:17" s="459" customFormat="1">
      <c r="A15" s="456" t="s">
        <v>554</v>
      </c>
      <c r="B15" s="457">
        <f ca="1">SUM(B4:B14)</f>
        <v>30666.209439947914</v>
      </c>
      <c r="C15" s="457">
        <f t="shared" ref="C15:Q15" ca="1" si="1">SUM(C4:C14)</f>
        <v>1060.7142857142858</v>
      </c>
      <c r="D15" s="457">
        <f t="shared" ca="1" si="1"/>
        <v>62510.445279108309</v>
      </c>
      <c r="E15" s="457">
        <f t="shared" si="1"/>
        <v>1170.0780564855925</v>
      </c>
      <c r="F15" s="457">
        <f t="shared" ca="1" si="1"/>
        <v>20903.553430366974</v>
      </c>
      <c r="G15" s="457">
        <f t="shared" si="1"/>
        <v>102719.79593388825</v>
      </c>
      <c r="H15" s="457">
        <f t="shared" si="1"/>
        <v>16030.120155014063</v>
      </c>
      <c r="I15" s="457">
        <f t="shared" si="1"/>
        <v>0</v>
      </c>
      <c r="J15" s="457">
        <f t="shared" si="1"/>
        <v>370.15500946954745</v>
      </c>
      <c r="K15" s="457">
        <f t="shared" si="1"/>
        <v>0</v>
      </c>
      <c r="L15" s="457">
        <f t="shared" ca="1" si="1"/>
        <v>0</v>
      </c>
      <c r="M15" s="457">
        <f t="shared" si="1"/>
        <v>5304.723862370879</v>
      </c>
      <c r="N15" s="457">
        <f t="shared" ca="1" si="1"/>
        <v>3989.0988542932928</v>
      </c>
      <c r="O15" s="457">
        <f t="shared" si="1"/>
        <v>37.520000000000003</v>
      </c>
      <c r="P15" s="457">
        <f t="shared" si="1"/>
        <v>95.333333333333329</v>
      </c>
      <c r="Q15" s="457">
        <f t="shared" ca="1" si="1"/>
        <v>244857.74763999248</v>
      </c>
    </row>
    <row r="17" spans="1:17">
      <c r="A17" s="460" t="s">
        <v>555</v>
      </c>
      <c r="B17" s="729">
        <f ca="1">huishoudens!B10</f>
        <v>0.20613350160288857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2487.9357234040426</v>
      </c>
      <c r="C22" s="447">
        <f t="shared" ref="C22:C32" ca="1" si="3">C4*$C$17</f>
        <v>0</v>
      </c>
      <c r="D22" s="447">
        <f t="shared" ref="D22:D32" si="4">D4*$D$17</f>
        <v>6337.897386387569</v>
      </c>
      <c r="E22" s="447">
        <f t="shared" ref="E22:E32" si="5">E4*$E$17</f>
        <v>123.59309563571394</v>
      </c>
      <c r="F22" s="447">
        <f t="shared" ref="F22:F32" si="6">F4*$F$17</f>
        <v>4431.9584751049551</v>
      </c>
      <c r="G22" s="447">
        <f t="shared" ref="G22:G32" si="7">G4*$G$17</f>
        <v>0</v>
      </c>
      <c r="H22" s="447">
        <f t="shared" ref="H22:H32" si="8">H4*$H$17</f>
        <v>0</v>
      </c>
      <c r="I22" s="447">
        <f t="shared" ref="I22:I32" si="9">I4*$I$17</f>
        <v>0</v>
      </c>
      <c r="J22" s="447">
        <f t="shared" ref="J22:J32" si="10">J4*$J$17</f>
        <v>106.61942003967276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13488.004100571954</v>
      </c>
    </row>
    <row r="23" spans="1:17">
      <c r="A23" s="446" t="s">
        <v>149</v>
      </c>
      <c r="B23" s="447">
        <f t="shared" ca="1" si="2"/>
        <v>959.54039157066381</v>
      </c>
      <c r="C23" s="447">
        <f t="shared" ca="1" si="3"/>
        <v>0</v>
      </c>
      <c r="D23" s="447">
        <f t="shared" ca="1" si="4"/>
        <v>1375.3601888563992</v>
      </c>
      <c r="E23" s="447">
        <f t="shared" si="5"/>
        <v>11.082146472318584</v>
      </c>
      <c r="F23" s="447">
        <f t="shared" ca="1" si="6"/>
        <v>221.80055991157715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2567.7832868109585</v>
      </c>
    </row>
    <row r="24" spans="1:17">
      <c r="A24" s="446" t="s">
        <v>187</v>
      </c>
      <c r="B24" s="447">
        <f t="shared" ca="1" si="2"/>
        <v>80.323010902089578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80.323010902089578</v>
      </c>
    </row>
    <row r="25" spans="1:17">
      <c r="A25" s="446" t="s">
        <v>105</v>
      </c>
      <c r="B25" s="447">
        <f t="shared" ca="1" si="2"/>
        <v>113.70992688979673</v>
      </c>
      <c r="C25" s="447">
        <f t="shared" ca="1" si="3"/>
        <v>0</v>
      </c>
      <c r="D25" s="447">
        <f t="shared" si="4"/>
        <v>26.84299148454495</v>
      </c>
      <c r="E25" s="447">
        <f t="shared" si="5"/>
        <v>1.2365758642392009</v>
      </c>
      <c r="F25" s="447">
        <f t="shared" si="6"/>
        <v>491.38460731625986</v>
      </c>
      <c r="G25" s="447">
        <f t="shared" si="7"/>
        <v>0</v>
      </c>
      <c r="H25" s="447">
        <f t="shared" si="8"/>
        <v>0</v>
      </c>
      <c r="I25" s="447">
        <f t="shared" si="9"/>
        <v>0</v>
      </c>
      <c r="J25" s="447">
        <f t="shared" si="10"/>
        <v>19.482805769447335</v>
      </c>
      <c r="K25" s="447">
        <f t="shared" si="11"/>
        <v>0</v>
      </c>
      <c r="L25" s="447">
        <f t="shared" si="12"/>
        <v>0</v>
      </c>
      <c r="M25" s="447">
        <f t="shared" si="13"/>
        <v>0</v>
      </c>
      <c r="N25" s="447">
        <f t="shared" si="14"/>
        <v>0</v>
      </c>
      <c r="O25" s="447">
        <f t="shared" si="15"/>
        <v>0</v>
      </c>
      <c r="P25" s="448">
        <f t="shared" si="16"/>
        <v>0</v>
      </c>
      <c r="Q25" s="446">
        <f t="shared" ca="1" si="17"/>
        <v>652.656907324288</v>
      </c>
    </row>
    <row r="26" spans="1:17">
      <c r="A26" s="446" t="s">
        <v>640</v>
      </c>
      <c r="B26" s="447">
        <f t="shared" ca="1" si="2"/>
        <v>2588.2917313313751</v>
      </c>
      <c r="C26" s="447">
        <f t="shared" ca="1" si="3"/>
        <v>0</v>
      </c>
      <c r="D26" s="447">
        <f t="shared" si="4"/>
        <v>4675.9050208690924</v>
      </c>
      <c r="E26" s="447">
        <f t="shared" si="5"/>
        <v>25.728549879989764</v>
      </c>
      <c r="F26" s="447">
        <f t="shared" si="6"/>
        <v>436.10512357519053</v>
      </c>
      <c r="G26" s="447">
        <f t="shared" si="7"/>
        <v>0</v>
      </c>
      <c r="H26" s="447">
        <f t="shared" si="8"/>
        <v>0</v>
      </c>
      <c r="I26" s="447">
        <f t="shared" si="9"/>
        <v>0</v>
      </c>
      <c r="J26" s="447">
        <f t="shared" si="10"/>
        <v>4.9326475430997032</v>
      </c>
      <c r="K26" s="447">
        <f t="shared" si="11"/>
        <v>0</v>
      </c>
      <c r="L26" s="447">
        <f t="shared" si="12"/>
        <v>0</v>
      </c>
      <c r="M26" s="447">
        <f t="shared" si="13"/>
        <v>0</v>
      </c>
      <c r="N26" s="447">
        <f t="shared" si="14"/>
        <v>0</v>
      </c>
      <c r="O26" s="447">
        <f t="shared" si="15"/>
        <v>0</v>
      </c>
      <c r="P26" s="448">
        <f t="shared" si="16"/>
        <v>0</v>
      </c>
      <c r="Q26" s="446">
        <f t="shared" ca="1" si="17"/>
        <v>7730.9630731987472</v>
      </c>
    </row>
    <row r="27" spans="1:17" s="452" customFormat="1">
      <c r="A27" s="450" t="s">
        <v>560</v>
      </c>
      <c r="B27" s="723">
        <f t="shared" ca="1" si="2"/>
        <v>1.0921021635253392</v>
      </c>
      <c r="C27" s="451">
        <f t="shared" ca="1" si="3"/>
        <v>0</v>
      </c>
      <c r="D27" s="451">
        <f t="shared" si="4"/>
        <v>1.211167612398683</v>
      </c>
      <c r="E27" s="451">
        <f t="shared" si="5"/>
        <v>103.967350969968</v>
      </c>
      <c r="F27" s="451">
        <f t="shared" si="6"/>
        <v>0</v>
      </c>
      <c r="G27" s="451">
        <f t="shared" si="7"/>
        <v>27312.328462586705</v>
      </c>
      <c r="H27" s="451">
        <f t="shared" si="8"/>
        <v>3991.4999185985016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31410.099001931099</v>
      </c>
    </row>
    <row r="28" spans="1:17">
      <c r="A28" s="446" t="s">
        <v>550</v>
      </c>
      <c r="B28" s="447">
        <f t="shared" ca="1" si="2"/>
        <v>0.4407160912594556</v>
      </c>
      <c r="C28" s="447">
        <f t="shared" ca="1" si="3"/>
        <v>0</v>
      </c>
      <c r="D28" s="447">
        <f t="shared" si="4"/>
        <v>0</v>
      </c>
      <c r="E28" s="447">
        <f t="shared" si="5"/>
        <v>0</v>
      </c>
      <c r="F28" s="447">
        <f t="shared" si="6"/>
        <v>0</v>
      </c>
      <c r="G28" s="447">
        <f t="shared" si="7"/>
        <v>113.85705176145729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114.29776785271675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89.999530391266532</v>
      </c>
      <c r="C32" s="447">
        <f t="shared" ca="1" si="3"/>
        <v>0</v>
      </c>
      <c r="D32" s="447">
        <f t="shared" si="4"/>
        <v>209.89319116987656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299.89272156114311</v>
      </c>
    </row>
    <row r="33" spans="1:17" s="459" customFormat="1">
      <c r="A33" s="456" t="s">
        <v>554</v>
      </c>
      <c r="B33" s="457">
        <f ca="1">SUM(B22:B32)</f>
        <v>6321.3331327440192</v>
      </c>
      <c r="C33" s="457">
        <f t="shared" ref="C33:Q33" ca="1" si="18">SUM(C22:C32)</f>
        <v>0</v>
      </c>
      <c r="D33" s="457">
        <f t="shared" ca="1" si="18"/>
        <v>12627.10994637988</v>
      </c>
      <c r="E33" s="457">
        <f t="shared" si="18"/>
        <v>265.60771882222951</v>
      </c>
      <c r="F33" s="457">
        <f t="shared" ca="1" si="18"/>
        <v>5581.2487659079816</v>
      </c>
      <c r="G33" s="457">
        <f t="shared" si="18"/>
        <v>27426.185514348163</v>
      </c>
      <c r="H33" s="457">
        <f t="shared" si="18"/>
        <v>3991.4999185985016</v>
      </c>
      <c r="I33" s="457">
        <f t="shared" si="18"/>
        <v>0</v>
      </c>
      <c r="J33" s="457">
        <f t="shared" si="18"/>
        <v>131.03487335221979</v>
      </c>
      <c r="K33" s="457">
        <f t="shared" si="18"/>
        <v>0</v>
      </c>
      <c r="L33" s="457">
        <f t="shared" ca="1" si="18"/>
        <v>0</v>
      </c>
      <c r="M33" s="457">
        <f t="shared" si="18"/>
        <v>0</v>
      </c>
      <c r="N33" s="457">
        <f t="shared" ca="1" si="18"/>
        <v>0</v>
      </c>
      <c r="O33" s="457">
        <f t="shared" si="18"/>
        <v>0</v>
      </c>
      <c r="P33" s="457">
        <f t="shared" si="18"/>
        <v>0</v>
      </c>
      <c r="Q33" s="457">
        <f t="shared" ca="1" si="18"/>
        <v>56344.019870152995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12</v>
      </c>
      <c r="C5" s="977"/>
      <c r="D5" s="977"/>
      <c r="E5" s="977"/>
      <c r="F5" s="977"/>
      <c r="G5" s="977"/>
      <c r="H5" s="977"/>
      <c r="I5" s="977"/>
      <c r="J5" s="977"/>
      <c r="K5" s="977"/>
      <c r="L5" s="977"/>
      <c r="M5" s="977"/>
      <c r="N5" s="977"/>
      <c r="O5" s="977"/>
      <c r="P5" s="978">
        <f>'SEAP template'!Q73</f>
        <v>0</v>
      </c>
    </row>
    <row r="6" spans="1:16">
      <c r="A6" s="979" t="s">
        <v>240</v>
      </c>
      <c r="B6" s="977">
        <f>'SEAP template'!B74</f>
        <v>1308.3920972147889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742.5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873.52941176470586</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2062.8920972147889</v>
      </c>
      <c r="C10" s="981">
        <f>SUM(C4:C9)</f>
        <v>0</v>
      </c>
      <c r="D10" s="981">
        <f t="shared" ref="D10:H10" si="0">SUM(D8:D9)</f>
        <v>0</v>
      </c>
      <c r="E10" s="981">
        <f t="shared" si="0"/>
        <v>0</v>
      </c>
      <c r="F10" s="981">
        <f t="shared" si="0"/>
        <v>0</v>
      </c>
      <c r="G10" s="981">
        <f t="shared" si="0"/>
        <v>0</v>
      </c>
      <c r="H10" s="981">
        <f t="shared" si="0"/>
        <v>0</v>
      </c>
      <c r="I10" s="981">
        <f>SUM(I8:I9)</f>
        <v>0</v>
      </c>
      <c r="J10" s="981">
        <f>SUM(J8:J9)</f>
        <v>873.52941176470586</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0.20613350160288857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1060.7142857142858</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1247.8991596638657</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1060.7142857142858</v>
      </c>
      <c r="C20" s="981">
        <f>SUM(C17:C19)</f>
        <v>0</v>
      </c>
      <c r="D20" s="981">
        <f t="shared" ref="D20:H20" si="2">SUM(D17:D19)</f>
        <v>0</v>
      </c>
      <c r="E20" s="981">
        <f t="shared" si="2"/>
        <v>0</v>
      </c>
      <c r="F20" s="981">
        <f t="shared" si="2"/>
        <v>0</v>
      </c>
      <c r="G20" s="981">
        <f t="shared" si="2"/>
        <v>0</v>
      </c>
      <c r="H20" s="981">
        <f t="shared" si="2"/>
        <v>0</v>
      </c>
      <c r="I20" s="981">
        <f>SUM(I17:I19)</f>
        <v>0</v>
      </c>
      <c r="J20" s="981">
        <f>SUM(J17:J19)</f>
        <v>1247.8991596638657</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0.20613350160288857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2022-07-26T12:25:45Z</dcterms:modified>
</cp:coreProperties>
</file>