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FF38CE72-2C7C-40FB-8AB5-8A296F716C9D}"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<sst xmlns="http://schemas.openxmlformats.org/spreadsheetml/2006/main" count="2497" uniqueCount="945">
  <si>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</si>
  <si>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</si>
  <si>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</si>
  <si>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</si>
  <si>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</si>
  <si>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</si>
  <si>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</si>
  <si>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</si>
  <si>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</si>
  <si>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</si>
  <si>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</si>
  <si>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</si>
  <si>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</si>
  <si>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</si>
  <si>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</si>
  <si>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</si>
  <si>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</si>
  <si>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</si>
  <si>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</si>
  <si>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</si>
  <si>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</si>
  <si>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</si>
  <si>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</si>
  <si>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</si>
  <si>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</si>
  <si>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</si>
  <si>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</si>
  <si>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</si>
  <si>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</si>
  <si>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</si>
  <si>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</si>
  <si>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</si>
  <si>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</si>
  <si>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</si>
  <si>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</si>
  <si>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</si>
  <si>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</si>
  <si>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</si>
  <si>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</si>
  <si>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</si>
  <si>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</si>
  <si>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</si>
  <si>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</si>
  <si>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</si>
  <si>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</si>
  <si>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</si>
  <si>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</si>
  <si>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</si>
  <si>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</si>
  <si>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</si>
  <si>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</si>
  <si>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</si>
  <si>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</si>
  <si>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</si>
  <si>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</si>
  <si>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</si>
  <si>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</si>
  <si>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</si>
  <si>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</si>
  <si>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</si>
  <si>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</si>
  <si>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</si>
  <si>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</si>
  <si>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</si>
  <si>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</si>
  <si>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</si>
  <si>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</si>
  <si>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</si>
  <si>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</si>
  <si>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</si>
  <si>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</si>
  <si>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</si>
  <si>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</si>
  <si>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</si>
  <si>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</si>
  <si>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</si>
  <si>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</si>
  <si>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</si>
  <si>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</si>
  <si>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</si>
  <si>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</si>
  <si>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</si>
  <si>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</si>
  <si>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</si>
  <si>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</si>
  <si>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</si>
  <si>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</si>
  <si>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</si>
  <si>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</si>
  <si>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</si>
  <si>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</si>
  <si>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</si>
  <si>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</si>
  <si>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</si>
  <si>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</si>
  <si>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</si>
  <si>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</si>
  <si>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</si>
  <si>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</si>
  <si>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</si>
  <si>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</si>
  <si>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</si>
  <si>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</si>
  <si>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</si>
  <si>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</si>
  <si>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</si>
  <si>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</si>
  <si>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</si>
  <si>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</si>
  <si>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</si>
  <si>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</si>
  <si>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</si>
  <si>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</si>
  <si>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</si>
  <si>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</si>
  <si>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</si>
  <si>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</si>
  <si>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</si>
  <si>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</si>
  <si>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</si>
  <si>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</si>
  <si>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</si>
  <si>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</si>
  <si>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</si>
  <si>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</si>
  <si>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</si>
  <si>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</si>
  <si>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</si>
  <si>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</si>
  <si>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</si>
  <si>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</si>
  <si>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</si>
  <si>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</si>
  <si>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</si>
  <si>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</si>
  <si>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</si>
  <si>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</si>
  <si>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</si>
  <si>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</si>
  <si>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</si>
  <si>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</si>
  <si>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</si>
  <si>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</si>
  <si>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</si>
  <si>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</si>
  <si>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</si>
  <si>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</si>
  <si>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</si>
  <si>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</si>
  <si>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</si>
  <si>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</si>
  <si>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</si>
  <si>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</si>
  <si>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</si>
  <si>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</si>
  <si>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</si>
  <si>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</si>
  <si>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</si>
  <si>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</si>
  <si>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</si>
  <si>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</si>
  <si>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</si>
  <si>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</si>
  <si>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</si>
  <si>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</si>
  <si>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</si>
  <si>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</si>
  <si>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</si>
  <si>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</si>
  <si>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</si>
  <si>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</si>
  <si>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</si>
  <si>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</si>
  <si>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</si>
  <si>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</si>
  <si>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</si>
  <si>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</si>
  <si>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</si>
  <si>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</si>
  <si>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</si>
  <si>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</si>
  <si>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</si>
  <si>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</si>
  <si>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</si>
  <si>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</si>
  <si>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</si>
  <si>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</si>
  <si>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</si>
  <si>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</si>
  <si>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</si>
  <si>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</si>
  <si>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</si>
  <si>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</si>
  <si>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</si>
  <si>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</si>
  <si>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</si>
  <si>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</si>
  <si>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</si>
  <si>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</si>
  <si>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</si>
  <si>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</si>
  <si>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</si>
  <si>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</si>
  <si>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</si>
  <si>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</si>
  <si>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</si>
  <si>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</si>
  <si>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</si>
  <si>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</si>
  <si>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</si>
  <si>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</si>
  <si>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</si>
  <si>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</si>
  <si>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</si>
  <si>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</si>
  <si>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</si>
  <si>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</si>
  <si>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</si>
  <si>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</si>
  <si>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</si>
  <si>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</si>
  <si>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</si>
  <si>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</si>
  <si>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</si>
  <si>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</si>
  <si>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</si>
  <si>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</si>
  <si>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</si>
  <si>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</si>
  <si>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</si>
  <si>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</si>
  <si>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</si>
  <si>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</si>
  <si>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</si>
  <si>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</si>
  <si>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</si>
  <si>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</si>
  <si>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</si>
  <si>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</si>
  <si>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</si>
  <si>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</si>
  <si>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</si>
  <si>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</si>
  <si>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</si>
  <si>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</si>
  <si>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</si>
  <si>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</si>
  <si>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</si>
  <si>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</si>
  <si>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</si>
  <si>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</si>
  <si>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</si>
  <si>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</si>
  <si>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</si>
  <si>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</si>
  <si>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</si>
  <si>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</si>
  <si>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</si>
  <si>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</si>
  <si>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</si>
  <si>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</si>
  <si>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</si>
  <si>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</si>
  <si>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</si>
  <si>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</si>
  <si>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</si>
  <si>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</si>
  <si>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</si>
  <si>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</si>
  <si>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</si>
  <si>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</si>
  <si>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</si>
  <si>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</si>
  <si>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</si>
  <si>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</si>
  <si>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</si>
  <si>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</si>
  <si>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</si>
  <si>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</si>
  <si>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</si>
  <si>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</si>
  <si>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</si>
  <si>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</si>
  <si>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</si>
  <si>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</si>
  <si>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</si>
  <si>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</si>
  <si>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</si>
  <si>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</si>
  <si>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</si>
  <si>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</si>
  <si>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</si>
  <si>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</si>
  <si>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</si>
  <si>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</si>
  <si>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</si>
  <si>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</si>
  <si>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</si>
  <si>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</si>
  <si>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</si>
  <si>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</si>
  <si>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</si>
  <si>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</si>
  <si>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</si>
  <si>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</si>
  <si>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</si>
  <si>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</si>
  <si>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</si>
  <si>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</si>
  <si>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</si>
  <si>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</si>
  <si>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</si>
  <si>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</si>
  <si>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</si>
  <si>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</si>
  <si>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</si>
  <si>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</si>
  <si>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</si>
  <si>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</si>
  <si>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</si>
  <si>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</si>
  <si>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</si>
  <si>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</si>
  <si>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</si>
  <si>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</si>
  <si>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</si>
  <si>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</si>
  <si>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</si>
  <si>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</si>
  <si>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</si>
  <si>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</si>
  <si>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</si>
  <si>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</si>
  <si>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</si>
  <si>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</si>
  <si>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</si>
  <si>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</si>
  <si>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</si>
  <si>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</si>
  <si>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</si>
  <si>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</si>
  <si>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</si>
  <si>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</si>
  <si>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</si>
  <si>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</si>
  <si>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</si>
  <si>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</si>
  <si>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</si>
  <si>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</si>
  <si>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</si>
  <si>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</si>
  <si>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</si>
  <si>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</si>
  <si>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</si>
  <si>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</si>
  <si>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</si>
  <si>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</si>
  <si>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</si>
  <si>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</si>
  <si>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</si>
  <si>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</si>
  <si>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</si>
  <si>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</si>
  <si>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</si>
  <si>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</si>
  <si>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</si>
  <si>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</si>
  <si>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</si>
  <si>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</si>
  <si>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</si>
  <si>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</si>
  <si>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</si>
  <si>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</si>
  <si>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</si>
  <si>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</si>
  <si>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</si>
  <si>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</si>
  <si>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</si>
  <si>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</si>
  <si>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</si>
  <si>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</si>
  <si>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</si>
  <si>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</si>
  <si>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</si>
  <si>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</si>
  <si>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</si>
  <si>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</si>
  <si>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</si>
  <si>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</si>
  <si>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</si>
  <si>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</si>
  <si>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</si>
  <si>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</si>
  <si>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</si>
  <si>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</si>
  <si>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</si>
  <si>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</si>
  <si>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</si>
  <si>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</si>
  <si>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</si>
  <si>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</si>
  <si>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</si>
  <si>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</si>
  <si>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</si>
  <si>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</si>
  <si>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</si>
  <si>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</si>
  <si>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</si>
  <si>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</si>
  <si>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</si>
  <si>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</si>
  <si>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</si>
  <si>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</si>
  <si>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</si>
  <si>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</si>
  <si>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</si>
  <si>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</si>
  <si>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</si>
  <si>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</si>
  <si>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</si>
  <si>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</si>
  <si>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</si>
  <si>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</si>
  <si>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</si>
  <si>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</si>
  <si>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</si>
  <si>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</si>
  <si>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</si>
  <si>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</si>
  <si>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</si>
  <si>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</si>
  <si>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</si>
  <si>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</si>
  <si>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</si>
  <si>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</si>
  <si>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</si>
  <si>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</si>
  <si>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</si>
  <si>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</si>
  <si>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</si>
  <si>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</si>
  <si>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</si>
  <si>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</si>
  <si>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</si>
  <si>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</si>
  <si>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</si>
  <si>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</si>
  <si>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</si>
  <si>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</si>
  <si>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</si>
  <si>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</si>
  <si>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</si>
  <si>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</si>
  <si>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</si>
  <si>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</si>
  <si>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</si>
  <si>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</si>
  <si>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</si>
  <si>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</si>
  <si>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</si>
  <si>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</si>
  <si>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</si>
  <si>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</si>
  <si>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</si>
  <si>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</si>
  <si>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</si>
  <si>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</si>
  <si>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</si>
  <si>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</si>
  <si>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</si>
  <si>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</si>
  <si>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</si>
  <si>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</si>
  <si>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</si>
  <si>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</si>
  <si>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</si>
  <si>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</si>
  <si>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</si>
  <si>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</si>
  <si>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</si>
  <si>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</si>
  <si>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</si>
  <si>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</si>
  <si>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</si>
  <si>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</si>
  <si>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</si>
  <si>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</si>
  <si>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</si>
  <si>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</si>
  <si>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</si>
  <si>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</si>
  <si>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</si>
  <si>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</si>
  <si>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</si>
  <si>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</si>
  <si>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</si>
  <si>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</si>
  <si>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</si>
  <si>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</si>
  <si>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</si>
  <si>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</si>
  <si>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</si>
  <si>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</si>
  <si>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</si>
  <si>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</si>
  <si>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</si>
  <si>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</si>
  <si>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</si>
  <si>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</si>
  <si>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</si>
  <si>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</si>
  <si>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</si>
  <si>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</si>
  <si>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</si>
  <si>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</si>
  <si>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</si>
  <si>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</si>
  <si>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</si>
  <si>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</si>
  <si>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</si>
  <si>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</si>
  <si>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</si>
  <si>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</si>
  <si>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</si>
  <si>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</si>
  <si>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</si>
  <si>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</si>
  <si>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</si>
  <si>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</si>
  <si>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</si>
  <si>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</si>
  <si>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</si>
  <si>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</si>
  <si>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</si>
  <si>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</si>
  <si>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</si>
  <si>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</si>
  <si>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</si>
  <si>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</si>
  <si>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</si>
  <si>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</si>
  <si>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</si>
  <si>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</si>
  <si>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</si>
  <si>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</si>
  <si>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</si>
  <si>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</si>
  <si>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</si>
  <si>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</si>
  <si>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</si>
  <si>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</si>
  <si>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</si>
  <si>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</si>
  <si>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</si>
  <si>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</si>
  <si>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</si>
  <si>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</si>
  <si>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</si>
  <si>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</si>
  <si>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</si>
  <si>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</si>
  <si>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</si>
  <si>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</si>
  <si>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</si>
  <si>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</si>
  <si>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</si>
  <si>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</si>
  <si>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</si>
  <si>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</si>
  <si>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</si>
  <si>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</si>
  <si>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</si>
  <si>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</si>
  <si>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</si>
  <si>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</si>
  <si>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</si>
  <si>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</si>
  <si>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</si>
  <si>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</si>
  <si>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</si>
  <si>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</si>
  <si>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</si>
  <si>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</si>
  <si>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</si>
  <si>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</si>
  <si>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</si>
  <si>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</si>
  <si>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</si>
  <si>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</si>
  <si>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</si>
  <si>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</si>
  <si>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</si>
  <si>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</si>
  <si>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</si>
  <si>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</si>
  <si>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</si>
  <si>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</si>
  <si>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</si>
  <si>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</si>
  <si>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</si>
  <si>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</si>
  <si>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</si>
  <si>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</si>
  <si>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</si>
  <si>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</si>
  <si>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</si>
  <si>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</si>
  <si>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</si>
  <si>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</si>
  <si>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</si>
  <si>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</si>
  <si>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</si>
  <si>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</si>
  <si>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</si>
  <si>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</si>
  <si>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</si>
  <si>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</si>
  <si>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</si>
  <si>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</si>
  <si>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</si>
  <si>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</si>
  <si>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</si>
  <si>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</si>
  <si>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</si>
  <si>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</si>
  <si>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</si>
  <si>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</si>
  <si>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</si>
  <si>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</si>
  <si>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</si>
  <si>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</si>
  <si>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</si>
  <si>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</si>
  <si>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</si>
  <si>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</si>
  <si>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</si>
  <si>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</si>
  <si>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</si>
  <si>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</si>
  <si>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</si>
  <si>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</si>
  <si>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</si>
  <si>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</si>
  <si>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</si>
  <si>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</si>
  <si>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</si>
  <si>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</si>
  <si>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</si>
  <si>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</si>
  <si>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</si>
  <si>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</si>
  <si>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</si>
  <si>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</si>
  <si>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</si>
  <si>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</si>
  <si>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</si>
  <si>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</si>
  <si>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</si>
  <si>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</si>
  <si>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</si>
  <si>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</si>
  <si>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</si>
  <si>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</si>
  <si>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</si>
  <si>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</si>
  <si>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</si>
  <si>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</si>
  <si>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</si>
  <si>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</si>
  <si>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</si>
  <si>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</si>
  <si>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</si>
  <si>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</si>
  <si>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</si>
  <si>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</si>
  <si>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</si>
  <si>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</si>
  <si>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</si>
  <si>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</si>
  <si>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</si>
  <si>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</si>
  <si>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</si>
  <si>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</si>
  <si>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</si>
  <si>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</si>
  <si>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</si>
  <si>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</si>
  <si>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</si>
  <si>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</si>
  <si>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</si>
  <si>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</si>
  <si>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</si>
  <si>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</si>
  <si>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</si>
  <si>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</si>
  <si>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</si>
  <si>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</si>
  <si>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</si>
  <si>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</si>
  <si>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</si>
  <si>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</si>
  <si>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</si>
  <si>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</si>
  <si>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</si>
  <si>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</si>
  <si>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</si>
  <si>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</si>
  <si>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</si>
  <si>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</si>
  <si>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</si>
  <si>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</si>
  <si>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</si>
  <si>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</si>
  <si>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</si>
  <si>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</si>
  <si>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</si>
  <si>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</si>
  <si>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</si>
  <si>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</si>
  <si>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</si>
  <si>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</si>
  <si>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</si>
  <si>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</si>
  <si>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</si>
  <si>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</si>
  <si>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</si>
  <si>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</si>
  <si>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</si>
  <si>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</si>
  <si>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</si>
  <si>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</si>
  <si>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</si>
  <si>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</si>
  <si>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</si>
  <si>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</si>
  <si>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</si>
  <si>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</si>
  <si>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</si>
  <si>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</si>
  <si>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</si>
  <si>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</si>
  <si>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</si>
  <si>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</si>
  <si>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</si>
  <si>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</si>
  <si>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</si>
  <si>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</si>
  <si>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</si>
  <si>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</si>
  <si>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</si>
  <si>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</si>
  <si>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</si>
  <si>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</si>
  <si>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</si>
  <si>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</si>
  <si>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</si>
  <si>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</si>
  <si>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</si>
  <si>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</si>
  <si>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</si>
  <si>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</si>
  <si>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</si>
  <si>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</si>
  <si>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</si>
  <si>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</si>
  <si>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</si>
  <si>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</si>
  <si>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</si>
  <si>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</si>
  <si>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</si>
  <si>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</si>
  <si>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</si>
  <si>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</si>
  <si>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</si>
  <si>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</si>
  <si>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</si>
  <si>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</si>
  <si>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</si>
  <si>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</si>
  <si>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</si>
  <si>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</si>
  <si>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</si>
  <si>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</si>
  <si>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</si>
  <si>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</si>
  <si>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</si>
  <si>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</si>
  <si>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</si>
  <si>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</si>
  <si>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</si>
  <si>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</si>
  <si>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</si>
  <si>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</si>
  <si>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</si>
  <si>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</si>
  <si>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</si>
  <si>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</si>
  <si>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</si>
  <si>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</si>
  <si>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</si>
  <si>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</si>
  <si>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</si>
  <si>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</si>
  <si>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</si>
  <si>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</si>
  <si>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</si>
  <si>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</si>
  <si>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</si>
  <si>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</si>
  <si>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</si>
  <si>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</si>
  <si>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</si>
  <si>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</si>
  <si>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</si>
  <si>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</si>
  <si>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</si>
  <si>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</si>
  <si>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</si>
  <si>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</si>
  <si>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</si>
  <si>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</si>
  <si>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</si>
  <si>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</si>
  <si>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</si>
  <si>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</si>
  <si>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</si>
  <si>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</si>
  <si>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</si>
  <si>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</si>
  <si>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</si>
  <si>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</si>
  <si>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</si>
  <si>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</si>
  <si>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</si>
  <si>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</si>
  <si>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</si>
  <si>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</si>
  <si>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</si>
  <si>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</si>
  <si>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</si>
  <si>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</si>
  <si>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</si>
  <si>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</si>
  <si>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</si>
  <si>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</si>
  <si>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</si>
  <si>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</si>
  <si>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</si>
  <si>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</si>
  <si>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</si>
  <si>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</si>
  <si>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</si>
  <si>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</si>
  <si>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</si>
  <si>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</si>
  <si>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</si>
  <si>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</si>
  <si>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</si>
  <si>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</si>
  <si>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</si>
  <si>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</si>
  <si>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</si>
  <si>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</si>
  <si>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</si>
  <si>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</si>
  <si>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</si>
  <si>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</si>
  <si>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</si>
  <si>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</si>
  <si>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</si>
  <si>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</si>
  <si>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</si>
  <si>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</si>
  <si>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</si>
  <si>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</si>
  <si>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</si>
  <si>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</si>
  <si>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</si>
  <si>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</si>
  <si>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</si>
  <si>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</si>
  <si>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</si>
  <si>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</si>
  <si>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</si>
  <si>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</si>
  <si>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</si>
  <si>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</si>
  <si>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</si>
  <si>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</si>
  <si>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</si>
  <si>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</si>
  <si>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</si>
  <si>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</si>
  <si>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</si>
  <si>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</si>
  <si>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</si>
  <si>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</si>
  <si>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</si>
  <si>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</si>
  <si>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</si>
  <si>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</si>
  <si>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</si>
  <si>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</si>
  <si>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</si>
  <si>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</si>
  <si>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</si>
  <si>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</si>
  <si>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</si>
  <si>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</si>
  <si>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</si>
  <si>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</si>
  <si>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</si>
  <si>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</si>
  <si>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</si>
  <si>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</si>
  <si>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</si>
  <si>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</si>
  <si>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</si>
  <si>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</si>
  <si>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</si>
  <si>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</si>
  <si>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</si>
  <si>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</si>
  <si>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</si>
  <si>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</si>
  <si>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</si>
  <si>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</si>
  <si>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</si>
  <si>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</si>
  <si>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</si>
  <si>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</si>
  <si>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</si>
  <si>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</si>
  <si>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</si>
  <si>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</si>
  <si>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</si>
  <si>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</si>
  <si>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23052</t>
  </si>
  <si>
    <t>MERCHTEM</t>
  </si>
  <si>
    <t>Paarden&amp;pony's 200 - 600 kg</t>
  </si>
  <si>
    <t>Paarden&amp;pony's &lt; 200 kg</t>
  </si>
  <si>
    <t>vloeibaar gas (MWh)</t>
  </si>
  <si>
    <t>interne verbrandingsmotor</t>
  </si>
  <si>
    <t>WKK interne verbrandinsgmotor (gas)</t>
  </si>
  <si>
    <t>IVERLEK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</si>
</sst>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51AC2231-19A4-4ED8-A04A-64FB386F28E3}"/>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23052</v>
      </c>
      <c r="B6" s="384"/>
      <c r="C6" s="385"/>
    </row>
    <row r="7" spans="1:7" s="382" customFormat="1" ht="15.75" customHeight="1">
      <c r="A7" s="386" t="str">
        <f>txtMunicipality</f>
        <v>MERCHTEM</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0.20874248261505401</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0.20874248261505401</v>
      </c>
      <c r="C29" s="497">
        <f ca="1">'EF ele_warmte'!B22</f>
        <v>0</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6537</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2223</v>
      </c>
      <c r="C14" s="327"/>
      <c r="D14" s="327"/>
      <c r="E14" s="327"/>
      <c r="F14" s="327"/>
    </row>
    <row r="15" spans="1:6">
      <c r="A15" s="1258" t="s">
        <v>177</v>
      </c>
      <c r="B15" s="1259">
        <v>25</v>
      </c>
      <c r="C15" s="327"/>
      <c r="D15" s="327"/>
      <c r="E15" s="327"/>
      <c r="F15" s="327"/>
    </row>
    <row r="16" spans="1:6">
      <c r="A16" s="1258" t="s">
        <v>6</v>
      </c>
      <c r="B16" s="1259">
        <v>1004</v>
      </c>
      <c r="C16" s="327"/>
      <c r="D16" s="327"/>
      <c r="E16" s="327"/>
      <c r="F16" s="327"/>
    </row>
    <row r="17" spans="1:6">
      <c r="A17" s="1258" t="s">
        <v>7</v>
      </c>
      <c r="B17" s="1259">
        <v>554</v>
      </c>
      <c r="C17" s="327"/>
      <c r="D17" s="327"/>
      <c r="E17" s="327"/>
      <c r="F17" s="327"/>
    </row>
    <row r="18" spans="1:6">
      <c r="A18" s="1258" t="s">
        <v>8</v>
      </c>
      <c r="B18" s="1259">
        <v>931</v>
      </c>
      <c r="C18" s="327"/>
      <c r="D18" s="327"/>
      <c r="E18" s="327"/>
      <c r="F18" s="327"/>
    </row>
    <row r="19" spans="1:6">
      <c r="A19" s="1258" t="s">
        <v>9</v>
      </c>
      <c r="B19" s="1259">
        <v>839</v>
      </c>
      <c r="C19" s="327"/>
      <c r="D19" s="327"/>
      <c r="E19" s="327"/>
      <c r="F19" s="327"/>
    </row>
    <row r="20" spans="1:6">
      <c r="A20" s="1258" t="s">
        <v>10</v>
      </c>
      <c r="B20" s="1259">
        <v>678</v>
      </c>
      <c r="C20" s="327"/>
      <c r="D20" s="327"/>
      <c r="E20" s="327"/>
      <c r="F20" s="327"/>
    </row>
    <row r="21" spans="1:6">
      <c r="A21" s="1258" t="s">
        <v>11</v>
      </c>
      <c r="B21" s="1259">
        <v>318</v>
      </c>
      <c r="C21" s="327"/>
      <c r="D21" s="327"/>
      <c r="E21" s="327"/>
      <c r="F21" s="327"/>
    </row>
    <row r="22" spans="1:6">
      <c r="A22" s="1258" t="s">
        <v>12</v>
      </c>
      <c r="B22" s="1259">
        <v>2348</v>
      </c>
      <c r="C22" s="327"/>
      <c r="D22" s="327"/>
      <c r="E22" s="327"/>
      <c r="F22" s="327"/>
    </row>
    <row r="23" spans="1:6">
      <c r="A23" s="1258" t="s">
        <v>13</v>
      </c>
      <c r="B23" s="1259">
        <v>14</v>
      </c>
      <c r="C23" s="327"/>
      <c r="D23" s="327"/>
      <c r="E23" s="327"/>
      <c r="F23" s="327"/>
    </row>
    <row r="24" spans="1:6">
      <c r="A24" s="1258" t="s">
        <v>14</v>
      </c>
      <c r="B24" s="1259">
        <v>0</v>
      </c>
      <c r="C24" s="327"/>
      <c r="D24" s="327"/>
      <c r="E24" s="327"/>
      <c r="F24" s="327"/>
    </row>
    <row r="25" spans="1:6">
      <c r="A25" s="1258" t="s">
        <v>15</v>
      </c>
      <c r="B25" s="1259">
        <v>0</v>
      </c>
      <c r="C25" s="327"/>
      <c r="D25" s="327"/>
      <c r="E25" s="327"/>
      <c r="F25" s="327"/>
    </row>
    <row r="26" spans="1:6">
      <c r="A26" s="1258" t="s">
        <v>16</v>
      </c>
      <c r="B26" s="1259">
        <v>216</v>
      </c>
      <c r="C26" s="327"/>
      <c r="D26" s="327"/>
      <c r="E26" s="327"/>
      <c r="F26" s="327"/>
    </row>
    <row r="27" spans="1:6">
      <c r="A27" s="1258" t="s">
        <v>17</v>
      </c>
      <c r="B27" s="1259">
        <v>5</v>
      </c>
      <c r="C27" s="327"/>
      <c r="D27" s="327"/>
      <c r="E27" s="327"/>
      <c r="F27" s="327"/>
    </row>
    <row r="28" spans="1:6">
      <c r="A28" s="1258" t="s">
        <v>18</v>
      </c>
      <c r="B28" s="1260">
        <v>137918</v>
      </c>
      <c r="C28" s="327"/>
      <c r="D28" s="327"/>
      <c r="E28" s="327"/>
      <c r="F28" s="327"/>
    </row>
    <row r="29" spans="1:6">
      <c r="A29" s="1258" t="s">
        <v>939</v>
      </c>
      <c r="B29" s="1260">
        <v>64</v>
      </c>
      <c r="C29" s="327"/>
      <c r="D29" s="327"/>
      <c r="E29" s="327"/>
      <c r="F29" s="327"/>
    </row>
    <row r="30" spans="1:6">
      <c r="A30" s="1253" t="s">
        <v>940</v>
      </c>
      <c r="B30" s="1261">
        <v>33</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4</v>
      </c>
      <c r="F36" s="1259">
        <v>7324.8250606416004</v>
      </c>
    </row>
    <row r="37" spans="1:6">
      <c r="A37" s="1258" t="s">
        <v>24</v>
      </c>
      <c r="B37" s="1258" t="s">
        <v>27</v>
      </c>
      <c r="C37" s="1259">
        <v>0</v>
      </c>
      <c r="D37" s="1259">
        <v>0</v>
      </c>
      <c r="E37" s="1259">
        <v>0</v>
      </c>
      <c r="F37" s="1259">
        <v>0</v>
      </c>
    </row>
    <row r="38" spans="1:6">
      <c r="A38" s="1258" t="s">
        <v>24</v>
      </c>
      <c r="B38" s="1258" t="s">
        <v>28</v>
      </c>
      <c r="C38" s="1259">
        <v>0</v>
      </c>
      <c r="D38" s="1259">
        <v>0</v>
      </c>
      <c r="E38" s="1259">
        <v>1</v>
      </c>
      <c r="F38" s="1259">
        <v>8787.7504863175</v>
      </c>
    </row>
    <row r="39" spans="1:6">
      <c r="A39" s="1258" t="s">
        <v>29</v>
      </c>
      <c r="B39" s="1258" t="s">
        <v>30</v>
      </c>
      <c r="C39" s="1259">
        <v>3105</v>
      </c>
      <c r="D39" s="1259">
        <v>52955688.607689798</v>
      </c>
      <c r="E39" s="1259">
        <v>6549</v>
      </c>
      <c r="F39" s="1259">
        <v>30667339.2424655</v>
      </c>
    </row>
    <row r="40" spans="1:6">
      <c r="A40" s="1258" t="s">
        <v>29</v>
      </c>
      <c r="B40" s="1258" t="s">
        <v>28</v>
      </c>
      <c r="C40" s="1259">
        <v>0</v>
      </c>
      <c r="D40" s="1259">
        <v>0</v>
      </c>
      <c r="E40" s="1259">
        <v>0</v>
      </c>
      <c r="F40" s="1259">
        <v>0</v>
      </c>
    </row>
    <row r="41" spans="1:6">
      <c r="A41" s="1258" t="s">
        <v>31</v>
      </c>
      <c r="B41" s="1258" t="s">
        <v>32</v>
      </c>
      <c r="C41" s="1259">
        <v>22</v>
      </c>
      <c r="D41" s="1259">
        <v>487582.89565566002</v>
      </c>
      <c r="E41" s="1259">
        <v>111</v>
      </c>
      <c r="F41" s="1259">
        <v>741423.24377730896</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3</v>
      </c>
      <c r="F44" s="1259">
        <v>34366.521110063499</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3</v>
      </c>
      <c r="D47" s="1259">
        <v>268836.38317920198</v>
      </c>
      <c r="E47" s="1259">
        <v>5</v>
      </c>
      <c r="F47" s="1259">
        <v>491196.84056585003</v>
      </c>
    </row>
    <row r="48" spans="1:6">
      <c r="A48" s="1258" t="s">
        <v>31</v>
      </c>
      <c r="B48" s="1258" t="s">
        <v>28</v>
      </c>
      <c r="C48" s="1259">
        <v>20</v>
      </c>
      <c r="D48" s="1259">
        <v>989148.15619834396</v>
      </c>
      <c r="E48" s="1259">
        <v>32</v>
      </c>
      <c r="F48" s="1259">
        <v>2068495.0365275501</v>
      </c>
    </row>
    <row r="49" spans="1:6">
      <c r="A49" s="1258" t="s">
        <v>31</v>
      </c>
      <c r="B49" s="1258" t="s">
        <v>39</v>
      </c>
      <c r="C49" s="1259">
        <v>0</v>
      </c>
      <c r="D49" s="1259">
        <v>0</v>
      </c>
      <c r="E49" s="1259">
        <v>0</v>
      </c>
      <c r="F49" s="1259">
        <v>0</v>
      </c>
    </row>
    <row r="50" spans="1:6">
      <c r="A50" s="1258" t="s">
        <v>31</v>
      </c>
      <c r="B50" s="1258" t="s">
        <v>40</v>
      </c>
      <c r="C50" s="1259">
        <v>11</v>
      </c>
      <c r="D50" s="1259">
        <v>865167.12557671696</v>
      </c>
      <c r="E50" s="1259">
        <v>13</v>
      </c>
      <c r="F50" s="1259">
        <v>607530.595999324</v>
      </c>
    </row>
    <row r="51" spans="1:6">
      <c r="A51" s="1258" t="s">
        <v>41</v>
      </c>
      <c r="B51" s="1258" t="s">
        <v>42</v>
      </c>
      <c r="C51" s="1259">
        <v>7</v>
      </c>
      <c r="D51" s="1259">
        <v>122526.67373530001</v>
      </c>
      <c r="E51" s="1259">
        <v>110</v>
      </c>
      <c r="F51" s="1259">
        <v>2471851.99823571</v>
      </c>
    </row>
    <row r="52" spans="1:6">
      <c r="A52" s="1258" t="s">
        <v>41</v>
      </c>
      <c r="B52" s="1258" t="s">
        <v>28</v>
      </c>
      <c r="C52" s="1259">
        <v>3</v>
      </c>
      <c r="D52" s="1259">
        <v>84639.438397064107</v>
      </c>
      <c r="E52" s="1259">
        <v>11</v>
      </c>
      <c r="F52" s="1259">
        <v>207368.091284803</v>
      </c>
    </row>
    <row r="53" spans="1:6">
      <c r="A53" s="1258" t="s">
        <v>43</v>
      </c>
      <c r="B53" s="1258" t="s">
        <v>44</v>
      </c>
      <c r="C53" s="1259">
        <v>76</v>
      </c>
      <c r="D53" s="1259">
        <v>1372396.1263935501</v>
      </c>
      <c r="E53" s="1259">
        <v>198</v>
      </c>
      <c r="F53" s="1259">
        <v>1344061.9177611601</v>
      </c>
    </row>
    <row r="54" spans="1:6">
      <c r="A54" s="1258" t="s">
        <v>45</v>
      </c>
      <c r="B54" s="1258" t="s">
        <v>46</v>
      </c>
      <c r="C54" s="1259">
        <v>0</v>
      </c>
      <c r="D54" s="1259">
        <v>0</v>
      </c>
      <c r="E54" s="1259">
        <v>1</v>
      </c>
      <c r="F54" s="1259">
        <v>943540</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36</v>
      </c>
      <c r="D57" s="1259">
        <v>1953964.1667905599</v>
      </c>
      <c r="E57" s="1259">
        <v>66</v>
      </c>
      <c r="F57" s="1259">
        <v>1782374.82914712</v>
      </c>
    </row>
    <row r="58" spans="1:6">
      <c r="A58" s="1258" t="s">
        <v>48</v>
      </c>
      <c r="B58" s="1258" t="s">
        <v>50</v>
      </c>
      <c r="C58" s="1259">
        <v>14</v>
      </c>
      <c r="D58" s="1259">
        <v>397419.00310571201</v>
      </c>
      <c r="E58" s="1259">
        <v>40</v>
      </c>
      <c r="F58" s="1259">
        <v>289172.53713464399</v>
      </c>
    </row>
    <row r="59" spans="1:6">
      <c r="A59" s="1258" t="s">
        <v>48</v>
      </c>
      <c r="B59" s="1258" t="s">
        <v>51</v>
      </c>
      <c r="C59" s="1259">
        <v>69</v>
      </c>
      <c r="D59" s="1259">
        <v>4764507.2814683104</v>
      </c>
      <c r="E59" s="1259">
        <v>224</v>
      </c>
      <c r="F59" s="1259">
        <v>5385623.2452098103</v>
      </c>
    </row>
    <row r="60" spans="1:6">
      <c r="A60" s="1258" t="s">
        <v>48</v>
      </c>
      <c r="B60" s="1258" t="s">
        <v>52</v>
      </c>
      <c r="C60" s="1259">
        <v>33</v>
      </c>
      <c r="D60" s="1259">
        <v>1550576.3051774099</v>
      </c>
      <c r="E60" s="1259">
        <v>66</v>
      </c>
      <c r="F60" s="1259">
        <v>1284576.3188115801</v>
      </c>
    </row>
    <row r="61" spans="1:6">
      <c r="A61" s="1258" t="s">
        <v>48</v>
      </c>
      <c r="B61" s="1258" t="s">
        <v>53</v>
      </c>
      <c r="C61" s="1259">
        <v>95</v>
      </c>
      <c r="D61" s="1259">
        <v>6039476.2632238101</v>
      </c>
      <c r="E61" s="1259">
        <v>277</v>
      </c>
      <c r="F61" s="1259">
        <v>4532912.8947967198</v>
      </c>
    </row>
    <row r="62" spans="1:6">
      <c r="A62" s="1258" t="s">
        <v>48</v>
      </c>
      <c r="B62" s="1258" t="s">
        <v>54</v>
      </c>
      <c r="C62" s="1259">
        <v>7</v>
      </c>
      <c r="D62" s="1259">
        <v>971249.38518595498</v>
      </c>
      <c r="E62" s="1259">
        <v>7</v>
      </c>
      <c r="F62" s="1259">
        <v>211227.98491485801</v>
      </c>
    </row>
    <row r="63" spans="1:6">
      <c r="A63" s="1258" t="s">
        <v>48</v>
      </c>
      <c r="B63" s="1258" t="s">
        <v>28</v>
      </c>
      <c r="C63" s="1259">
        <v>87</v>
      </c>
      <c r="D63" s="1259">
        <v>5765020.43802574</v>
      </c>
      <c r="E63" s="1259">
        <v>98</v>
      </c>
      <c r="F63" s="1259">
        <v>2135161.7489973898</v>
      </c>
    </row>
    <row r="64" spans="1:6">
      <c r="A64" s="1258" t="s">
        <v>55</v>
      </c>
      <c r="B64" s="1258" t="s">
        <v>56</v>
      </c>
      <c r="C64" s="1259">
        <v>0</v>
      </c>
      <c r="D64" s="1259">
        <v>0</v>
      </c>
      <c r="E64" s="1259">
        <v>0</v>
      </c>
      <c r="F64" s="1259">
        <v>0</v>
      </c>
    </row>
    <row r="65" spans="1:6">
      <c r="A65" s="1258" t="s">
        <v>55</v>
      </c>
      <c r="B65" s="1258" t="s">
        <v>28</v>
      </c>
      <c r="C65" s="1259">
        <v>1</v>
      </c>
      <c r="D65" s="1259">
        <v>20997.4461757725</v>
      </c>
      <c r="E65" s="1259">
        <v>0</v>
      </c>
      <c r="F65" s="1259">
        <v>0</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9</v>
      </c>
      <c r="D68" s="1261">
        <v>158822.37488546199</v>
      </c>
      <c r="E68" s="1261">
        <v>22</v>
      </c>
      <c r="F68" s="1261">
        <v>92424.397500170802</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32267084</v>
      </c>
      <c r="E73" s="445"/>
      <c r="F73" s="327"/>
    </row>
    <row r="74" spans="1:6">
      <c r="A74" s="1258" t="s">
        <v>63</v>
      </c>
      <c r="B74" s="1258" t="s">
        <v>724</v>
      </c>
      <c r="C74" s="1271" t="s">
        <v>718</v>
      </c>
      <c r="D74" s="1259">
        <v>878605.12154824729</v>
      </c>
      <c r="E74" s="445"/>
      <c r="F74" s="327"/>
    </row>
    <row r="75" spans="1:6">
      <c r="A75" s="1258" t="s">
        <v>64</v>
      </c>
      <c r="B75" s="1258" t="s">
        <v>723</v>
      </c>
      <c r="C75" s="1271" t="s">
        <v>719</v>
      </c>
      <c r="D75" s="1259">
        <v>52028014</v>
      </c>
      <c r="E75" s="445"/>
      <c r="F75" s="327"/>
    </row>
    <row r="76" spans="1:6">
      <c r="A76" s="1258" t="s">
        <v>64</v>
      </c>
      <c r="B76" s="1258" t="s">
        <v>724</v>
      </c>
      <c r="C76" s="1271" t="s">
        <v>720</v>
      </c>
      <c r="D76" s="1259">
        <v>1855537.1215482473</v>
      </c>
      <c r="E76" s="445"/>
      <c r="F76" s="327"/>
    </row>
    <row r="77" spans="1:6">
      <c r="A77" s="1258" t="s">
        <v>65</v>
      </c>
      <c r="B77" s="1258" t="s">
        <v>723</v>
      </c>
      <c r="C77" s="1271" t="s">
        <v>721</v>
      </c>
      <c r="D77" s="1259">
        <v>0</v>
      </c>
      <c r="E77" s="445"/>
      <c r="F77" s="327"/>
    </row>
    <row r="78" spans="1:6">
      <c r="A78" s="1253" t="s">
        <v>65</v>
      </c>
      <c r="B78" s="1253" t="s">
        <v>724</v>
      </c>
      <c r="C78" s="1253" t="s">
        <v>722</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433115.7569035053</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2350.6289461481088</v>
      </c>
      <c r="C91" s="327"/>
      <c r="D91" s="327"/>
      <c r="E91" s="327"/>
      <c r="F91" s="327"/>
    </row>
    <row r="92" spans="1:6">
      <c r="A92" s="1253" t="s">
        <v>68</v>
      </c>
      <c r="B92" s="1254">
        <v>838.24195214337965</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1490</v>
      </c>
      <c r="C97" s="327"/>
      <c r="D97" s="327"/>
      <c r="E97" s="327"/>
      <c r="F97" s="327"/>
    </row>
    <row r="98" spans="1:6">
      <c r="A98" s="1258" t="s">
        <v>71</v>
      </c>
      <c r="B98" s="1259">
        <v>2</v>
      </c>
      <c r="C98" s="327"/>
      <c r="D98" s="327"/>
      <c r="E98" s="327"/>
      <c r="F98" s="327"/>
    </row>
    <row r="99" spans="1:6">
      <c r="A99" s="1258" t="s">
        <v>72</v>
      </c>
      <c r="B99" s="1259">
        <v>41</v>
      </c>
      <c r="C99" s="327"/>
      <c r="D99" s="327"/>
      <c r="E99" s="327"/>
      <c r="F99" s="327"/>
    </row>
    <row r="100" spans="1:6">
      <c r="A100" s="1258" t="s">
        <v>73</v>
      </c>
      <c r="B100" s="1259">
        <v>697</v>
      </c>
      <c r="C100" s="327"/>
      <c r="D100" s="327"/>
      <c r="E100" s="327"/>
      <c r="F100" s="327"/>
    </row>
    <row r="101" spans="1:6">
      <c r="A101" s="1258" t="s">
        <v>74</v>
      </c>
      <c r="B101" s="1259">
        <v>39</v>
      </c>
      <c r="C101" s="327"/>
      <c r="D101" s="327"/>
      <c r="E101" s="327"/>
      <c r="F101" s="327"/>
    </row>
    <row r="102" spans="1:6">
      <c r="A102" s="1258" t="s">
        <v>75</v>
      </c>
      <c r="B102" s="1259">
        <v>62</v>
      </c>
      <c r="C102" s="327"/>
      <c r="D102" s="327"/>
      <c r="E102" s="327"/>
      <c r="F102" s="327"/>
    </row>
    <row r="103" spans="1:6">
      <c r="A103" s="1258" t="s">
        <v>76</v>
      </c>
      <c r="B103" s="1259">
        <v>137</v>
      </c>
      <c r="C103" s="327"/>
      <c r="D103" s="327"/>
      <c r="E103" s="327"/>
      <c r="F103" s="327"/>
    </row>
    <row r="104" spans="1:6">
      <c r="A104" s="1258" t="s">
        <v>77</v>
      </c>
      <c r="B104" s="1259">
        <v>3027</v>
      </c>
      <c r="C104" s="327"/>
      <c r="D104" s="327"/>
      <c r="E104" s="327"/>
      <c r="F104" s="327"/>
    </row>
    <row r="105" spans="1:6">
      <c r="A105" s="1253" t="s">
        <v>78</v>
      </c>
      <c r="B105" s="1261">
        <v>11</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16</v>
      </c>
      <c r="C123" s="1259">
        <v>5</v>
      </c>
      <c r="D123" s="327"/>
      <c r="E123" s="327"/>
      <c r="F123" s="327"/>
    </row>
    <row r="124" spans="1:6">
      <c r="A124" s="1258" t="s">
        <v>88</v>
      </c>
      <c r="B124" s="1259">
        <v>0</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51</v>
      </c>
      <c r="C129" s="327"/>
      <c r="D129" s="327"/>
      <c r="E129" s="327"/>
      <c r="F129" s="327"/>
    </row>
    <row r="130" spans="1:6">
      <c r="A130" s="1258" t="s">
        <v>284</v>
      </c>
      <c r="B130" s="1259">
        <v>1</v>
      </c>
      <c r="C130" s="327"/>
      <c r="D130" s="327"/>
      <c r="E130" s="327"/>
      <c r="F130" s="327"/>
    </row>
    <row r="131" spans="1:6">
      <c r="A131" s="1258" t="s">
        <v>285</v>
      </c>
      <c r="B131" s="1259">
        <v>1</v>
      </c>
      <c r="C131" s="327"/>
      <c r="D131" s="327"/>
      <c r="E131" s="327"/>
      <c r="F131" s="327"/>
    </row>
    <row r="132" spans="1:6">
      <c r="A132" s="1253" t="s">
        <v>286</v>
      </c>
      <c r="B132" s="1254">
        <v>14</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57560.135047324409</v>
      </c>
      <c r="C3" s="44" t="s">
        <v>163</v>
      </c>
      <c r="D3" s="44"/>
      <c r="E3" s="157"/>
      <c r="F3" s="44"/>
      <c r="G3" s="44"/>
      <c r="H3" s="44"/>
      <c r="I3" s="44"/>
      <c r="J3" s="44"/>
      <c r="K3" s="97"/>
    </row>
    <row r="4" spans="1:11">
      <c r="A4" s="352" t="s">
        <v>164</v>
      </c>
      <c r="B4" s="50">
        <f>IF(ISERROR('SEAP template'!B78+'SEAP template'!C78),0,'SEAP template'!B78+'SEAP template'!C78)</f>
        <v>3192.5083982914884</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0</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0.20874248261505401</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0</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5.1964285714285703</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943.54</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943.54</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0.20874248261505401</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196.95688204660806</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30667.339242465499</v>
      </c>
      <c r="C5" s="18">
        <f>IF(ISERROR('Eigen informatie GS &amp; warmtenet'!B57),0,'Eigen informatie GS &amp; warmtenet'!B57)</f>
        <v>0</v>
      </c>
      <c r="D5" s="31">
        <f>(SUM(HH_hh_gas_kWh,HH_rest_gas_kWh)/1000)*0.902</f>
        <v>47766.0311241362</v>
      </c>
      <c r="E5" s="18">
        <f>B32*B41</f>
        <v>1850.201492823707</v>
      </c>
      <c r="F5" s="18">
        <f>B36*B45</f>
        <v>56407.271833857507</v>
      </c>
      <c r="G5" s="19"/>
      <c r="H5" s="18"/>
      <c r="I5" s="18"/>
      <c r="J5" s="18">
        <f>B35*B44+C35*C44</f>
        <v>1023.490292546469</v>
      </c>
      <c r="K5" s="18"/>
      <c r="L5" s="18"/>
      <c r="M5" s="18"/>
      <c r="N5" s="18">
        <f>B34*B43+C34*C43</f>
        <v>9776.8167828951482</v>
      </c>
      <c r="O5" s="18">
        <f>B52*B53*B54</f>
        <v>87.546666666666681</v>
      </c>
      <c r="P5" s="18">
        <f>B60*B61*B62/1000-B60*B61*B62/1000/B63</f>
        <v>572</v>
      </c>
    </row>
    <row r="6" spans="1:16">
      <c r="A6" s="17" t="s">
        <v>597</v>
      </c>
      <c r="B6" s="731">
        <f>kWh_PV_kleiner_dan_10kW</f>
        <v>2350.6289461481088</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33017.96818861361</v>
      </c>
      <c r="C8" s="22">
        <f>C5</f>
        <v>0</v>
      </c>
      <c r="D8" s="22">
        <f>D5</f>
        <v>47766.0311241362</v>
      </c>
      <c r="E8" s="22">
        <f>E5</f>
        <v>1850.201492823707</v>
      </c>
      <c r="F8" s="22">
        <f>F5</f>
        <v>56407.271833857507</v>
      </c>
      <c r="G8" s="22"/>
      <c r="H8" s="22"/>
      <c r="I8" s="22"/>
      <c r="J8" s="22">
        <f>J5</f>
        <v>1023.490292546469</v>
      </c>
      <c r="K8" s="22"/>
      <c r="L8" s="22">
        <f>L5</f>
        <v>0</v>
      </c>
      <c r="M8" s="22">
        <f>M5</f>
        <v>0</v>
      </c>
      <c r="N8" s="22">
        <f>N5</f>
        <v>9776.8167828951482</v>
      </c>
      <c r="O8" s="22">
        <f>O5</f>
        <v>87.546666666666681</v>
      </c>
      <c r="P8" s="22">
        <f>P5</f>
        <v>572</v>
      </c>
    </row>
    <row r="9" spans="1:16">
      <c r="B9" s="20"/>
      <c r="C9" s="20"/>
      <c r="D9" s="258"/>
      <c r="E9" s="20"/>
      <c r="F9" s="20"/>
      <c r="G9" s="20"/>
      <c r="H9" s="20"/>
      <c r="I9" s="20"/>
      <c r="J9" s="20"/>
      <c r="K9" s="20"/>
      <c r="L9" s="20"/>
      <c r="M9" s="20"/>
      <c r="N9" s="20"/>
      <c r="O9" s="20"/>
      <c r="P9" s="20"/>
    </row>
    <row r="10" spans="1:16">
      <c r="A10" s="25" t="s">
        <v>207</v>
      </c>
      <c r="B10" s="26">
        <f ca="1">'EF ele_warmte'!B12</f>
        <v>0.20874248261505401</v>
      </c>
      <c r="C10" s="26">
        <f ca="1">'EF ele_warmte'!B22</f>
        <v>0</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6892.2526505960832</v>
      </c>
      <c r="C12" s="24">
        <f ca="1">C10*C8</f>
        <v>0</v>
      </c>
      <c r="D12" s="24">
        <f>D8*D10</f>
        <v>9648.7382870755137</v>
      </c>
      <c r="E12" s="24">
        <f>E10*E8</f>
        <v>419.99573887098148</v>
      </c>
      <c r="F12" s="24">
        <f>F10*F8</f>
        <v>15060.741579639955</v>
      </c>
      <c r="G12" s="24"/>
      <c r="H12" s="24"/>
      <c r="I12" s="24"/>
      <c r="J12" s="24">
        <f>J10*J8</f>
        <v>362.31556356145001</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6537</v>
      </c>
      <c r="C26" s="37"/>
      <c r="D26" s="228"/>
    </row>
    <row r="27" spans="1:5" s="16" customFormat="1">
      <c r="A27" s="230" t="s">
        <v>623</v>
      </c>
      <c r="B27" s="38">
        <f>SUM(HH_hh_gas_aantal,HH_rest_gas_aantal)</f>
        <v>3105</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2949.75</v>
      </c>
      <c r="C31" s="35" t="s">
        <v>104</v>
      </c>
      <c r="D31" s="174"/>
    </row>
    <row r="32" spans="1:5">
      <c r="A32" s="171" t="s">
        <v>72</v>
      </c>
      <c r="B32" s="34">
        <f>IF((B21*($B$26-($B$27-0.05*$B$27)-$B$60))&lt;0,0,B21*($B$26-($B$27-0.05*$B$27)-$B$60))</f>
        <v>87.420594664329741</v>
      </c>
      <c r="C32" s="35" t="s">
        <v>104</v>
      </c>
      <c r="D32" s="174"/>
    </row>
    <row r="33" spans="1:6">
      <c r="A33" s="171" t="s">
        <v>73</v>
      </c>
      <c r="B33" s="34">
        <f>IF((B22*($B$26-($B$27-0.05*$B$27)-$B$60))&lt;0,0,B22*($B$26-($B$27-0.05*$B$27)-$B$60))</f>
        <v>588.44313241801467</v>
      </c>
      <c r="C33" s="35" t="s">
        <v>104</v>
      </c>
      <c r="D33" s="174"/>
    </row>
    <row r="34" spans="1:6">
      <c r="A34" s="171" t="s">
        <v>74</v>
      </c>
      <c r="B34" s="34">
        <f>IF((B24*($B$26-($B$27-0.05*$B$27)-$B$60))&lt;0,0,B24*($B$26-($B$27-0.05*$B$27)-$B$60))</f>
        <v>149.24158163857592</v>
      </c>
      <c r="C34" s="34">
        <f>B26*C24</f>
        <v>1336.8317159727253</v>
      </c>
      <c r="D34" s="233"/>
    </row>
    <row r="35" spans="1:6">
      <c r="A35" s="171" t="s">
        <v>76</v>
      </c>
      <c r="B35" s="34">
        <f>IF((B19*($B$26-($B$27-0.05*$B$27)-$B$60))&lt;0,0,B19*($B$26-($B$27-0.05*$B$27)-$B$60))</f>
        <v>55.483297169161546</v>
      </c>
      <c r="C35" s="34">
        <f>B35/2</f>
        <v>27.741648584580773</v>
      </c>
      <c r="D35" s="233"/>
    </row>
    <row r="36" spans="1:6">
      <c r="A36" s="171" t="s">
        <v>77</v>
      </c>
      <c r="B36" s="34">
        <f>IF((B18*($B$26-($B$27-0.05*$B$27)-$B$60))&lt;0,0,B18*($B$26-($B$27-0.05*$B$27)-$B$60))</f>
        <v>2676.6613941099172</v>
      </c>
      <c r="C36" s="35" t="s">
        <v>104</v>
      </c>
      <c r="D36" s="174"/>
    </row>
    <row r="37" spans="1:6">
      <c r="A37" s="171" t="s">
        <v>78</v>
      </c>
      <c r="B37" s="34">
        <f>B60</f>
        <v>30</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56</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30</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15621.049559012121</v>
      </c>
      <c r="C5" s="18">
        <f>IF(ISERROR('Eigen informatie GS &amp; warmtenet'!B58),0,'Eigen informatie GS &amp; warmtenet'!B58)</f>
        <v>0</v>
      </c>
      <c r="D5" s="31">
        <f>SUM(D6:D12)</f>
        <v>19340.875984365703</v>
      </c>
      <c r="E5" s="18">
        <f>SUM(E6:E12)</f>
        <v>135.5004283827237</v>
      </c>
      <c r="F5" s="18">
        <f>SUM(F6:F12)</f>
        <v>2976.0923280766333</v>
      </c>
      <c r="G5" s="19"/>
      <c r="H5" s="18"/>
      <c r="I5" s="18"/>
      <c r="J5" s="18">
        <f>SUM(J6:J12)</f>
        <v>0</v>
      </c>
      <c r="K5" s="18"/>
      <c r="L5" s="18"/>
      <c r="M5" s="18"/>
      <c r="N5" s="18">
        <f>SUM(N6:N12)</f>
        <v>1032.2520304993006</v>
      </c>
      <c r="O5" s="18">
        <f>B38*B39*B40</f>
        <v>1.5633333333333335</v>
      </c>
      <c r="P5" s="18">
        <f>B46*B47*B48/1000-B46*B47*B48/1000/B49</f>
        <v>19.066666666666666</v>
      </c>
      <c r="R5" s="33"/>
    </row>
    <row r="6" spans="1:18">
      <c r="A6" s="33" t="s">
        <v>53</v>
      </c>
      <c r="B6" s="38">
        <f>B26</f>
        <v>4532.9128947967201</v>
      </c>
      <c r="C6" s="34"/>
      <c r="D6" s="38">
        <f>IF(ISERROR(TER_kantoor_gas_kWh/1000),0,TER_kantoor_gas_kWh/1000)*0.902</f>
        <v>5447.6075894278765</v>
      </c>
      <c r="E6" s="34">
        <f>$C$26*'E Balans VL '!I12/100/3.6*1000000</f>
        <v>7.4046495235390113</v>
      </c>
      <c r="F6" s="34">
        <f>$C$26*('E Balans VL '!L12+'E Balans VL '!N12)/100/3.6*1000000</f>
        <v>532.53580680367895</v>
      </c>
      <c r="G6" s="35"/>
      <c r="H6" s="34"/>
      <c r="I6" s="34"/>
      <c r="J6" s="34">
        <f>$C$26*('E Balans VL '!D12+'E Balans VL '!E12)/100/3.6*1000000</f>
        <v>0</v>
      </c>
      <c r="K6" s="34"/>
      <c r="L6" s="34"/>
      <c r="M6" s="34"/>
      <c r="N6" s="34">
        <f>$C$26*'E Balans VL '!Y12/100/3.6*1000000</f>
        <v>33.005403510906305</v>
      </c>
      <c r="O6" s="34"/>
      <c r="P6" s="34"/>
      <c r="R6" s="33"/>
    </row>
    <row r="7" spans="1:18">
      <c r="A7" s="33" t="s">
        <v>52</v>
      </c>
      <c r="B7" s="38">
        <f t="shared" ref="B7:B12" si="0">B27</f>
        <v>1284.57631881158</v>
      </c>
      <c r="C7" s="34"/>
      <c r="D7" s="38">
        <f>IF(ISERROR(TER_horeca_gas_kWh/1000),0,TER_horeca_gas_kWh/1000)*0.902</f>
        <v>1398.6198272700237</v>
      </c>
      <c r="E7" s="34">
        <f>$C$27*'E Balans VL '!I9/100/3.6*1000000</f>
        <v>66.460056186813731</v>
      </c>
      <c r="F7" s="34">
        <f>$C$27*('E Balans VL '!L9+'E Balans VL '!N9)/100/3.6*1000000</f>
        <v>292.26103837411108</v>
      </c>
      <c r="G7" s="35"/>
      <c r="H7" s="34"/>
      <c r="I7" s="34"/>
      <c r="J7" s="34">
        <f>$C$27*('E Balans VL '!D9+'E Balans VL '!E9)/100/3.6*1000000</f>
        <v>0</v>
      </c>
      <c r="K7" s="34"/>
      <c r="L7" s="34"/>
      <c r="M7" s="34"/>
      <c r="N7" s="34">
        <f>$C$27*'E Balans VL '!Y9/100/3.6*1000000</f>
        <v>0.13524343437269157</v>
      </c>
      <c r="O7" s="34"/>
      <c r="P7" s="34"/>
      <c r="R7" s="33"/>
    </row>
    <row r="8" spans="1:18">
      <c r="A8" s="6" t="s">
        <v>51</v>
      </c>
      <c r="B8" s="38">
        <f t="shared" si="0"/>
        <v>5385.6232452098102</v>
      </c>
      <c r="C8" s="34"/>
      <c r="D8" s="38">
        <f>IF(ISERROR(TER_handel_gas_kWh/1000),0,TER_handel_gas_kWh/1000)*0.902</f>
        <v>4297.5855678844164</v>
      </c>
      <c r="E8" s="34">
        <f>$C$28*'E Balans VL '!I13/100/3.6*1000000</f>
        <v>28.289311011908477</v>
      </c>
      <c r="F8" s="34">
        <f>$C$28*('E Balans VL '!L13+'E Balans VL '!N13)/100/3.6*1000000</f>
        <v>1015.3703483041659</v>
      </c>
      <c r="G8" s="35"/>
      <c r="H8" s="34"/>
      <c r="I8" s="34"/>
      <c r="J8" s="34">
        <f>$C$28*('E Balans VL '!D13+'E Balans VL '!E13)/100/3.6*1000000</f>
        <v>0</v>
      </c>
      <c r="K8" s="34"/>
      <c r="L8" s="34"/>
      <c r="M8" s="34"/>
      <c r="N8" s="34">
        <f>$C$28*'E Balans VL '!Y13/100/3.6*1000000</f>
        <v>26.699464645276354</v>
      </c>
      <c r="O8" s="34"/>
      <c r="P8" s="34"/>
      <c r="R8" s="33"/>
    </row>
    <row r="9" spans="1:18">
      <c r="A9" s="33" t="s">
        <v>50</v>
      </c>
      <c r="B9" s="38">
        <f t="shared" si="0"/>
        <v>289.17253713464402</v>
      </c>
      <c r="C9" s="34"/>
      <c r="D9" s="38">
        <f>IF(ISERROR(TER_gezond_gas_kWh/1000),0,TER_gezond_gas_kWh/1000)*0.902</f>
        <v>358.47194080135228</v>
      </c>
      <c r="E9" s="34">
        <f>$C$29*'E Balans VL '!I10/100/3.6*1000000</f>
        <v>0.25671103769587672</v>
      </c>
      <c r="F9" s="34">
        <f>$C$29*('E Balans VL '!L10+'E Balans VL '!N10)/100/3.6*1000000</f>
        <v>89.879221560447832</v>
      </c>
      <c r="G9" s="35"/>
      <c r="H9" s="34"/>
      <c r="I9" s="34"/>
      <c r="J9" s="34">
        <f>$C$29*('E Balans VL '!D10+'E Balans VL '!E10)/100/3.6*1000000</f>
        <v>0</v>
      </c>
      <c r="K9" s="34"/>
      <c r="L9" s="34"/>
      <c r="M9" s="34"/>
      <c r="N9" s="34">
        <f>$C$29*'E Balans VL '!Y10/100/3.6*1000000</f>
        <v>2.232120473749565</v>
      </c>
      <c r="O9" s="34"/>
      <c r="P9" s="34"/>
      <c r="R9" s="33"/>
    </row>
    <row r="10" spans="1:18">
      <c r="A10" s="33" t="s">
        <v>49</v>
      </c>
      <c r="B10" s="38">
        <f t="shared" si="0"/>
        <v>1782.37482914712</v>
      </c>
      <c r="C10" s="34"/>
      <c r="D10" s="38">
        <f>IF(ISERROR(TER_ander_gas_kWh/1000),0,TER_ander_gas_kWh/1000)*0.902</f>
        <v>1762.4756784450851</v>
      </c>
      <c r="E10" s="34">
        <f>$C$30*'E Balans VL '!I14/100/3.6*1000000</f>
        <v>14.537824250140856</v>
      </c>
      <c r="F10" s="34">
        <f>$C$30*('E Balans VL '!L14+'E Balans VL '!N14)/100/3.6*1000000</f>
        <v>519.52917089760763</v>
      </c>
      <c r="G10" s="35"/>
      <c r="H10" s="34"/>
      <c r="I10" s="34"/>
      <c r="J10" s="34">
        <f>$C$30*('E Balans VL '!D14+'E Balans VL '!E14)/100/3.6*1000000</f>
        <v>0</v>
      </c>
      <c r="K10" s="34"/>
      <c r="L10" s="34"/>
      <c r="M10" s="34"/>
      <c r="N10" s="34">
        <f>$C$30*'E Balans VL '!Y14/100/3.6*1000000</f>
        <v>846.54859194841072</v>
      </c>
      <c r="O10" s="34"/>
      <c r="P10" s="34"/>
      <c r="R10" s="33"/>
    </row>
    <row r="11" spans="1:18">
      <c r="A11" s="33" t="s">
        <v>54</v>
      </c>
      <c r="B11" s="38">
        <f t="shared" si="0"/>
        <v>211.22798491485801</v>
      </c>
      <c r="C11" s="34"/>
      <c r="D11" s="38">
        <f>IF(ISERROR(TER_onderwijs_gas_kWh/1000),0,TER_onderwijs_gas_kWh/1000)*0.902</f>
        <v>876.06694543773142</v>
      </c>
      <c r="E11" s="34">
        <f>$C$31*'E Balans VL '!I11/100/3.6*1000000</f>
        <v>0.17622039982348492</v>
      </c>
      <c r="F11" s="34">
        <f>$C$31*('E Balans VL '!L11+'E Balans VL '!N11)/100/3.6*1000000</f>
        <v>110.53589288648519</v>
      </c>
      <c r="G11" s="35"/>
      <c r="H11" s="34"/>
      <c r="I11" s="34"/>
      <c r="J11" s="34">
        <f>$C$31*('E Balans VL '!D11+'E Balans VL '!E11)/100/3.6*1000000</f>
        <v>0</v>
      </c>
      <c r="K11" s="34"/>
      <c r="L11" s="34"/>
      <c r="M11" s="34"/>
      <c r="N11" s="34">
        <f>$C$31*'E Balans VL '!Y11/100/3.6*1000000</f>
        <v>0.9299909760148144</v>
      </c>
      <c r="O11" s="34"/>
      <c r="P11" s="34"/>
      <c r="R11" s="33"/>
    </row>
    <row r="12" spans="1:18">
      <c r="A12" s="33" t="s">
        <v>249</v>
      </c>
      <c r="B12" s="38">
        <f t="shared" si="0"/>
        <v>2135.1617489973896</v>
      </c>
      <c r="C12" s="34"/>
      <c r="D12" s="38">
        <f>IF(ISERROR(TER_rest_gas_kWh/1000),0,TER_rest_gas_kWh/1000)*0.902</f>
        <v>5200.0484350992174</v>
      </c>
      <c r="E12" s="34">
        <f>$C$32*'E Balans VL '!I8/100/3.6*1000000</f>
        <v>18.37565597280226</v>
      </c>
      <c r="F12" s="34">
        <f>$C$32*('E Balans VL '!L8+'E Balans VL '!N8)/100/3.6*1000000</f>
        <v>415.98084925013643</v>
      </c>
      <c r="G12" s="35"/>
      <c r="H12" s="34"/>
      <c r="I12" s="34"/>
      <c r="J12" s="34">
        <f>$C$32*('E Balans VL '!D8+'E Balans VL '!E8)/100/3.6*1000000</f>
        <v>0</v>
      </c>
      <c r="K12" s="34"/>
      <c r="L12" s="34"/>
      <c r="M12" s="34"/>
      <c r="N12" s="34">
        <f>$C$32*'E Balans VL '!Y8/100/3.6*1000000</f>
        <v>122.70121551057032</v>
      </c>
      <c r="O12" s="34"/>
      <c r="P12" s="34"/>
      <c r="R12" s="33"/>
    </row>
    <row r="13" spans="1:18">
      <c r="A13" s="17" t="s">
        <v>488</v>
      </c>
      <c r="B13" s="246">
        <f ca="1">'lokale energieproductie'!N38+'lokale energieproductie'!N31</f>
        <v>0</v>
      </c>
      <c r="C13" s="246">
        <f ca="1">'lokale energieproductie'!O38+'lokale energieproductie'!O31</f>
        <v>0</v>
      </c>
      <c r="D13" s="305">
        <f ca="1">('lokale energieproductie'!P31+'lokale energieproductie'!P38)*(-1)</f>
        <v>0</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15621.049559012121</v>
      </c>
      <c r="C16" s="22">
        <f t="shared" ca="1" si="1"/>
        <v>0</v>
      </c>
      <c r="D16" s="22">
        <f t="shared" ca="1" si="1"/>
        <v>19340.875984365703</v>
      </c>
      <c r="E16" s="22">
        <f t="shared" si="1"/>
        <v>135.5004283827237</v>
      </c>
      <c r="F16" s="22">
        <f t="shared" ca="1" si="1"/>
        <v>2976.0923280766333</v>
      </c>
      <c r="G16" s="22">
        <f t="shared" si="1"/>
        <v>0</v>
      </c>
      <c r="H16" s="22">
        <f t="shared" si="1"/>
        <v>0</v>
      </c>
      <c r="I16" s="22">
        <f t="shared" si="1"/>
        <v>0</v>
      </c>
      <c r="J16" s="22">
        <f t="shared" si="1"/>
        <v>0</v>
      </c>
      <c r="K16" s="22">
        <f t="shared" si="1"/>
        <v>0</v>
      </c>
      <c r="L16" s="22">
        <f t="shared" ca="1" si="1"/>
        <v>0</v>
      </c>
      <c r="M16" s="22">
        <f t="shared" si="1"/>
        <v>0</v>
      </c>
      <c r="N16" s="22">
        <f t="shared" ca="1" si="1"/>
        <v>1032.2520304993006</v>
      </c>
      <c r="O16" s="22">
        <f>O5</f>
        <v>1.5633333333333335</v>
      </c>
      <c r="P16" s="22">
        <f>P5</f>
        <v>19.066666666666666</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0.20874248261505401</v>
      </c>
      <c r="C18" s="26">
        <f ca="1">'EF ele_warmte'!B22</f>
        <v>0</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3260.7766660009847</v>
      </c>
      <c r="C20" s="24">
        <f t="shared" ref="C20:P20" ca="1" si="2">C16*C18</f>
        <v>0</v>
      </c>
      <c r="D20" s="24">
        <f t="shared" ca="1" si="2"/>
        <v>3906.8569488418721</v>
      </c>
      <c r="E20" s="24">
        <f t="shared" si="2"/>
        <v>30.758597242878281</v>
      </c>
      <c r="F20" s="24">
        <f t="shared" ca="1" si="2"/>
        <v>794.61665159646111</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4532.9128947967201</v>
      </c>
      <c r="C26" s="40">
        <f>IF(ISERROR(B26*3.6/1000000/'E Balans VL '!Z12*100),0,B26*3.6/1000000/'E Balans VL '!Z12*100)</f>
        <v>9.6075344245368177E-2</v>
      </c>
      <c r="D26" s="236" t="s">
        <v>660</v>
      </c>
      <c r="F26" s="6"/>
    </row>
    <row r="27" spans="1:18">
      <c r="A27" s="231" t="s">
        <v>52</v>
      </c>
      <c r="B27" s="34">
        <f>IF(ISERROR(TER_horeca_ele_kWh/1000),0,TER_horeca_ele_kWh/1000)</f>
        <v>1284.57631881158</v>
      </c>
      <c r="C27" s="40">
        <f>IF(ISERROR(B27*3.6/1000000/'E Balans VL '!Z9*100),0,B27*3.6/1000000/'E Balans VL '!Z9*100)</f>
        <v>0.10080255978088812</v>
      </c>
      <c r="D27" s="236" t="s">
        <v>660</v>
      </c>
      <c r="F27" s="6"/>
    </row>
    <row r="28" spans="1:18">
      <c r="A28" s="171" t="s">
        <v>51</v>
      </c>
      <c r="B28" s="34">
        <f>IF(ISERROR(TER_handel_ele_kWh/1000),0,TER_handel_ele_kWh/1000)</f>
        <v>5385.6232452098102</v>
      </c>
      <c r="C28" s="40">
        <f>IF(ISERROR(B28*3.6/1000000/'E Balans VL '!Z13*100),0,B28*3.6/1000000/'E Balans VL '!Z13*100)</f>
        <v>0.15040131075008811</v>
      </c>
      <c r="D28" s="236" t="s">
        <v>660</v>
      </c>
      <c r="F28" s="6"/>
    </row>
    <row r="29" spans="1:18">
      <c r="A29" s="231" t="s">
        <v>50</v>
      </c>
      <c r="B29" s="34">
        <f>IF(ISERROR(TER_gezond_ele_kWh/1000),0,TER_gezond_ele_kWh/1000)</f>
        <v>289.17253713464402</v>
      </c>
      <c r="C29" s="40">
        <f>IF(ISERROR(B29*3.6/1000000/'E Balans VL '!Z10*100),0,B29*3.6/1000000/'E Balans VL '!Z10*100)</f>
        <v>3.3138978300248048E-2</v>
      </c>
      <c r="D29" s="236" t="s">
        <v>660</v>
      </c>
      <c r="F29" s="6"/>
    </row>
    <row r="30" spans="1:18">
      <c r="A30" s="231" t="s">
        <v>49</v>
      </c>
      <c r="B30" s="34">
        <f>IF(ISERROR(TER_ander_ele_kWh/1000),0,TER_ander_ele_kWh/1000)</f>
        <v>1782.37482914712</v>
      </c>
      <c r="C30" s="40">
        <f>IF(ISERROR(B30*3.6/1000000/'E Balans VL '!Z14*100),0,B30*3.6/1000000/'E Balans VL '!Z14*100)</f>
        <v>0.13290641952323565</v>
      </c>
      <c r="D30" s="236" t="s">
        <v>660</v>
      </c>
      <c r="F30" s="6"/>
    </row>
    <row r="31" spans="1:18">
      <c r="A31" s="231" t="s">
        <v>54</v>
      </c>
      <c r="B31" s="34">
        <f>IF(ISERROR(TER_onderwijs_ele_kWh/1000),0,TER_onderwijs_ele_kWh/1000)</f>
        <v>211.22798491485801</v>
      </c>
      <c r="C31" s="40">
        <f>IF(ISERROR(B31*3.6/1000000/'E Balans VL '!Z11*100),0,B31*3.6/1000000/'E Balans VL '!Z11*100)</f>
        <v>6.0369423954223587E-2</v>
      </c>
      <c r="D31" s="236" t="s">
        <v>660</v>
      </c>
    </row>
    <row r="32" spans="1:18">
      <c r="A32" s="231" t="s">
        <v>249</v>
      </c>
      <c r="B32" s="34">
        <f>IF(ISERROR(TER_rest_ele_kWh/1000),0,TER_rest_ele_kWh/1000)</f>
        <v>2135.1617489973896</v>
      </c>
      <c r="C32" s="40">
        <f>IF(ISERROR(B32*3.6/1000000/'E Balans VL '!Z8*100),0,B32*3.6/1000000/'E Balans VL '!Z8*100)</f>
        <v>1.759240484427366E-2</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1</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1</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3943.0122379800964</v>
      </c>
      <c r="C5" s="18">
        <f>IF(ISERROR('Eigen informatie GS &amp; warmtenet'!B59),0,'Eigen informatie GS &amp; warmtenet'!B59)</f>
        <v>0</v>
      </c>
      <c r="D5" s="31">
        <f>SUM(D6:D15)</f>
        <v>2354.8825736701506</v>
      </c>
      <c r="E5" s="18">
        <f>SUM(E6:E15)</f>
        <v>45.889855710814871</v>
      </c>
      <c r="F5" s="18">
        <f>SUM(F6:F15)</f>
        <v>1150.3079576334237</v>
      </c>
      <c r="G5" s="19"/>
      <c r="H5" s="18"/>
      <c r="I5" s="18"/>
      <c r="J5" s="18">
        <f>SUM(J6:J15)</f>
        <v>11.038072623722158</v>
      </c>
      <c r="K5" s="18"/>
      <c r="L5" s="18"/>
      <c r="M5" s="18"/>
      <c r="N5" s="18">
        <f>SUM(N6:N15)</f>
        <v>309.53284674749949</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34.366521110063502</v>
      </c>
      <c r="C8" s="34"/>
      <c r="D8" s="38">
        <f>IF( ISERROR(IND_metaal_Gas_kWH/1000),0,IND_metaal_Gas_kWH/1000)*0.902</f>
        <v>0</v>
      </c>
      <c r="E8" s="34">
        <f>C30*'E Balans VL '!I18/100/3.6*1000000</f>
        <v>0.31296971447766536</v>
      </c>
      <c r="F8" s="34">
        <f>C30*'E Balans VL '!L18/100/3.6*1000000+C30*'E Balans VL '!N18/100/3.6*1000000</f>
        <v>4.5326831505735266</v>
      </c>
      <c r="G8" s="35"/>
      <c r="H8" s="34"/>
      <c r="I8" s="34"/>
      <c r="J8" s="41">
        <f>C30*'E Balans VL '!D18/100/3.6*1000000+C30*'E Balans VL '!E18/100/3.6*1000000</f>
        <v>0.56356104781317695</v>
      </c>
      <c r="K8" s="34"/>
      <c r="L8" s="34"/>
      <c r="M8" s="34"/>
      <c r="N8" s="34">
        <f>C30*'E Balans VL '!Y18/100/3.6*1000000</f>
        <v>0.11810408098979747</v>
      </c>
      <c r="O8" s="34"/>
      <c r="P8" s="34"/>
      <c r="R8" s="33"/>
    </row>
    <row r="9" spans="1:18">
      <c r="A9" s="6" t="s">
        <v>32</v>
      </c>
      <c r="B9" s="38">
        <f t="shared" si="0"/>
        <v>741.42324377730893</v>
      </c>
      <c r="C9" s="34"/>
      <c r="D9" s="38">
        <f>IF( ISERROR(IND_andere_gas_kWh/1000),0,IND_andere_gas_kWh/1000)*0.902</f>
        <v>439.79977188140538</v>
      </c>
      <c r="E9" s="34">
        <f>C31*'E Balans VL '!I19/100/3.6*1000000</f>
        <v>4.2855371455723157</v>
      </c>
      <c r="F9" s="34">
        <f>C31*'E Balans VL '!L19/100/3.6*1000000+C31*'E Balans VL '!N19/100/3.6*1000000</f>
        <v>589.83786629959343</v>
      </c>
      <c r="G9" s="35"/>
      <c r="H9" s="34"/>
      <c r="I9" s="34"/>
      <c r="J9" s="41">
        <f>C31*'E Balans VL '!D19/100/3.6*1000000+C31*'E Balans VL '!E19/100/3.6*1000000</f>
        <v>7.0130403365202071E-2</v>
      </c>
      <c r="K9" s="34"/>
      <c r="L9" s="34"/>
      <c r="M9" s="34"/>
      <c r="N9" s="34">
        <f>C31*'E Balans VL '!Y19/100/3.6*1000000</f>
        <v>56.174030901881878</v>
      </c>
      <c r="O9" s="34"/>
      <c r="P9" s="34"/>
      <c r="R9" s="33"/>
    </row>
    <row r="10" spans="1:18">
      <c r="A10" s="6" t="s">
        <v>40</v>
      </c>
      <c r="B10" s="38">
        <f t="shared" si="0"/>
        <v>607.53059599932396</v>
      </c>
      <c r="C10" s="34"/>
      <c r="D10" s="38">
        <f>IF( ISERROR(IND_voed_gas_kWh/1000),0,IND_voed_gas_kWh/1000)*0.902</f>
        <v>780.38074727019875</v>
      </c>
      <c r="E10" s="34">
        <f>C32*'E Balans VL '!I20/100/3.6*1000000</f>
        <v>5.9736151506408044</v>
      </c>
      <c r="F10" s="34">
        <f>C32*'E Balans VL '!L20/100/3.6*1000000+C32*'E Balans VL '!N20/100/3.6*1000000</f>
        <v>67.474202566551497</v>
      </c>
      <c r="G10" s="35"/>
      <c r="H10" s="34"/>
      <c r="I10" s="34"/>
      <c r="J10" s="41">
        <f>C32*'E Balans VL '!D20/100/3.6*1000000+C32*'E Balans VL '!E20/100/3.6*1000000</f>
        <v>2.3945538811282596E-3</v>
      </c>
      <c r="K10" s="34"/>
      <c r="L10" s="34"/>
      <c r="M10" s="34"/>
      <c r="N10" s="34">
        <f>C32*'E Balans VL '!Y20/100/3.6*1000000</f>
        <v>8.9960990641539578</v>
      </c>
      <c r="O10" s="34"/>
      <c r="P10" s="34"/>
      <c r="R10" s="33"/>
    </row>
    <row r="11" spans="1:18">
      <c r="A11" s="6" t="s">
        <v>39</v>
      </c>
      <c r="B11" s="38">
        <f t="shared" si="0"/>
        <v>0</v>
      </c>
      <c r="C11" s="34"/>
      <c r="D11" s="38">
        <f>IF( ISERROR(IND_textiel_gas_kWh/1000),0,IND_textiel_gas_kWh/1000)*0.902</f>
        <v>0</v>
      </c>
      <c r="E11" s="34">
        <f>C33*'E Balans VL '!I21/100/3.6*1000000</f>
        <v>0</v>
      </c>
      <c r="F11" s="34">
        <f>C33*'E Balans VL '!L21/100/3.6*1000000+C33*'E Balans VL '!N21/100/3.6*1000000</f>
        <v>0</v>
      </c>
      <c r="G11" s="35"/>
      <c r="H11" s="34"/>
      <c r="I11" s="34"/>
      <c r="J11" s="41">
        <f>C33*'E Balans VL '!D21/100/3.6*1000000+C33*'E Balans VL '!E21/100/3.6*1000000</f>
        <v>0</v>
      </c>
      <c r="K11" s="34"/>
      <c r="L11" s="34"/>
      <c r="M11" s="34"/>
      <c r="N11" s="34">
        <f>C33*'E Balans VL '!Y21/100/3.6*1000000</f>
        <v>0</v>
      </c>
      <c r="O11" s="34"/>
      <c r="P11" s="34"/>
      <c r="R11" s="33"/>
    </row>
    <row r="12" spans="1:18">
      <c r="A12" s="6" t="s">
        <v>36</v>
      </c>
      <c r="B12" s="38">
        <f t="shared" si="0"/>
        <v>0</v>
      </c>
      <c r="C12" s="34"/>
      <c r="D12" s="38">
        <f>IF( ISERROR(IND_min_gas_kWh/1000),0,IND_min_gas_kWh/1000)*0.902</f>
        <v>0</v>
      </c>
      <c r="E12" s="34">
        <f>C34*'E Balans VL '!I22/100/3.6*1000000</f>
        <v>0</v>
      </c>
      <c r="F12" s="34">
        <f>C34*'E Balans VL '!L22/100/3.6*1000000+C34*'E Balans VL '!N22/100/3.6*1000000</f>
        <v>0</v>
      </c>
      <c r="G12" s="35"/>
      <c r="H12" s="34"/>
      <c r="I12" s="34"/>
      <c r="J12" s="41">
        <f>C34*'E Balans VL '!D22/100/3.6*1000000+C34*'E Balans VL '!E22/100/3.6*1000000</f>
        <v>0</v>
      </c>
      <c r="K12" s="34"/>
      <c r="L12" s="34"/>
      <c r="M12" s="34"/>
      <c r="N12" s="34">
        <f>C34*'E Balans VL '!Y22/100/3.6*1000000</f>
        <v>0</v>
      </c>
      <c r="O12" s="34"/>
      <c r="P12" s="34"/>
      <c r="R12" s="33"/>
    </row>
    <row r="13" spans="1:18">
      <c r="A13" s="6" t="s">
        <v>38</v>
      </c>
      <c r="B13" s="38">
        <f t="shared" si="0"/>
        <v>491.19684056585004</v>
      </c>
      <c r="C13" s="34"/>
      <c r="D13" s="38">
        <f>IF( ISERROR(IND_papier_gas_kWh/1000),0,IND_papier_gas_kWh/1000)*0.902</f>
        <v>242.49041762764017</v>
      </c>
      <c r="E13" s="34">
        <f>C35*'E Balans VL '!I23/100/3.6*1000000</f>
        <v>16.730876579046843</v>
      </c>
      <c r="F13" s="34">
        <f>C35*'E Balans VL '!L23/100/3.6*1000000+C35*'E Balans VL '!N23/100/3.6*1000000</f>
        <v>81.134189919780155</v>
      </c>
      <c r="G13" s="35"/>
      <c r="H13" s="34"/>
      <c r="I13" s="34"/>
      <c r="J13" s="41">
        <f>C35*'E Balans VL '!D23/100/3.6*1000000+C35*'E Balans VL '!E23/100/3.6*1000000</f>
        <v>0</v>
      </c>
      <c r="K13" s="34"/>
      <c r="L13" s="34"/>
      <c r="M13" s="34"/>
      <c r="N13" s="34">
        <f>C35*'E Balans VL '!Y23/100/3.6*1000000</f>
        <v>180.74726445013098</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2068.4950365275499</v>
      </c>
      <c r="C15" s="34"/>
      <c r="D15" s="38">
        <f>IF( ISERROR(IND_rest_gas_kWh/1000),0,IND_rest_gas_kWh/1000)*0.902</f>
        <v>892.21163689090622</v>
      </c>
      <c r="E15" s="34">
        <f>C37*'E Balans VL '!I15/100/3.6*1000000</f>
        <v>18.586857121077241</v>
      </c>
      <c r="F15" s="34">
        <f>C37*'E Balans VL '!L15/100/3.6*1000000+C37*'E Balans VL '!N15/100/3.6*1000000</f>
        <v>407.32901569692496</v>
      </c>
      <c r="G15" s="35"/>
      <c r="H15" s="34"/>
      <c r="I15" s="34"/>
      <c r="J15" s="41">
        <f>C37*'E Balans VL '!D15/100/3.6*1000000+C37*'E Balans VL '!E15/100/3.6*1000000</f>
        <v>10.401986618662651</v>
      </c>
      <c r="K15" s="34"/>
      <c r="L15" s="34"/>
      <c r="M15" s="34"/>
      <c r="N15" s="34">
        <f>C37*'E Balans VL '!Y15/100/3.6*1000000</f>
        <v>63.497348250342903</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3943.0122379800964</v>
      </c>
      <c r="C18" s="22">
        <f>C5+C16</f>
        <v>0</v>
      </c>
      <c r="D18" s="22">
        <f>MAX((D5+D16),0)</f>
        <v>2354.8825736701506</v>
      </c>
      <c r="E18" s="22">
        <f>MAX((E5+E16),0)</f>
        <v>45.889855710814871</v>
      </c>
      <c r="F18" s="22">
        <f>MAX((F5+F16),0)</f>
        <v>1150.3079576334237</v>
      </c>
      <c r="G18" s="22"/>
      <c r="H18" s="22"/>
      <c r="I18" s="22"/>
      <c r="J18" s="22">
        <f>MAX((J5+J16),0)</f>
        <v>11.038072623722158</v>
      </c>
      <c r="K18" s="22"/>
      <c r="L18" s="22">
        <f>MAX((L5+L16),0)</f>
        <v>0</v>
      </c>
      <c r="M18" s="22"/>
      <c r="N18" s="22">
        <f>MAX((N5+N16),0)</f>
        <v>309.53284674749949</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0.20874248261505401</v>
      </c>
      <c r="C20" s="26">
        <f ca="1">'EF ele_warmte'!B22</f>
        <v>0</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823.07416353750546</v>
      </c>
      <c r="C22" s="24">
        <f ca="1">C18*C20</f>
        <v>0</v>
      </c>
      <c r="D22" s="24">
        <f>D18*D20</f>
        <v>475.68627988137047</v>
      </c>
      <c r="E22" s="24">
        <f>E18*E20</f>
        <v>10.416997246354976</v>
      </c>
      <c r="F22" s="24">
        <f>F18*F20</f>
        <v>307.13222468812415</v>
      </c>
      <c r="G22" s="24"/>
      <c r="H22" s="24"/>
      <c r="I22" s="24"/>
      <c r="J22" s="24">
        <f>J18*J20</f>
        <v>3.9074777087976438</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34.366521110063502</v>
      </c>
      <c r="C30" s="40">
        <f>IF(ISERROR(B30*3.6/1000000/'E Balans VL '!Z18*100),0,B30*3.6/1000000/'E Balans VL '!Z18*100)</f>
        <v>1.9122670928200546E-3</v>
      </c>
      <c r="D30" s="236" t="s">
        <v>660</v>
      </c>
    </row>
    <row r="31" spans="1:18">
      <c r="A31" s="6" t="s">
        <v>32</v>
      </c>
      <c r="B31" s="38">
        <f>IF( ISERROR(IND_ander_ele_kWh/1000),0,IND_ander_ele_kWh/1000)</f>
        <v>741.42324377730893</v>
      </c>
      <c r="C31" s="40">
        <f>IF(ISERROR(B31*3.6/1000000/'E Balans VL '!Z19*100),0,B31*3.6/1000000/'E Balans VL '!Z19*100)</f>
        <v>3.446681940132798E-2</v>
      </c>
      <c r="D31" s="236" t="s">
        <v>660</v>
      </c>
    </row>
    <row r="32" spans="1:18">
      <c r="A32" s="171" t="s">
        <v>40</v>
      </c>
      <c r="B32" s="38">
        <f>IF( ISERROR(IND_voed_ele_kWh/1000),0,IND_voed_ele_kWh/1000)</f>
        <v>607.53059599932396</v>
      </c>
      <c r="C32" s="40">
        <f>IF(ISERROR(B32*3.6/1000000/'E Balans VL '!Z20*100),0,B32*3.6/1000000/'E Balans VL '!Z20*100)</f>
        <v>2.1474979608575188E-2</v>
      </c>
      <c r="D32" s="236" t="s">
        <v>660</v>
      </c>
    </row>
    <row r="33" spans="1:5">
      <c r="A33" s="171" t="s">
        <v>39</v>
      </c>
      <c r="B33" s="38">
        <f>IF( ISERROR(IND_textiel_ele_kWh/1000),0,IND_textiel_ele_kWh/1000)</f>
        <v>0</v>
      </c>
      <c r="C33" s="40">
        <f>IF(ISERROR(B33*3.6/1000000/'E Balans VL '!Z21*100),0,B33*3.6/1000000/'E Balans VL '!Z21*100)</f>
        <v>0</v>
      </c>
      <c r="D33" s="236" t="s">
        <v>660</v>
      </c>
    </row>
    <row r="34" spans="1:5">
      <c r="A34" s="171" t="s">
        <v>36</v>
      </c>
      <c r="B34" s="38">
        <f>IF( ISERROR(IND_min_ele_kWh/1000),0,IND_min_ele_kWh/1000)</f>
        <v>0</v>
      </c>
      <c r="C34" s="40">
        <f>IF(ISERROR(B34*3.6/1000000/'E Balans VL '!Z22*100),0,B34*3.6/1000000/'E Balans VL '!Z22*100)</f>
        <v>0</v>
      </c>
      <c r="D34" s="236" t="s">
        <v>660</v>
      </c>
    </row>
    <row r="35" spans="1:5">
      <c r="A35" s="171" t="s">
        <v>38</v>
      </c>
      <c r="B35" s="38">
        <f>IF( ISERROR(IND_papier_ele_kWh/1000),0,IND_papier_ele_kWh/1000)</f>
        <v>491.19684056585004</v>
      </c>
      <c r="C35" s="40">
        <f>IF(ISERROR(B35*3.6/1000000/'E Balans VL '!Z22*100),0,B35*3.6/1000000/'E Balans VL '!Z22*100)</f>
        <v>9.8716713670785022E-2</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2068.4950365275499</v>
      </c>
      <c r="C37" s="40">
        <f>IF(ISERROR(B37*3.6/1000000/'E Balans VL '!Z15*100),0,B37*3.6/1000000/'E Balans VL '!Z15*100)</f>
        <v>1.5620193155008828E-2</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2679.2200895205133</v>
      </c>
      <c r="C5" s="18">
        <f>'Eigen informatie GS &amp; warmtenet'!B60</f>
        <v>0</v>
      </c>
      <c r="D5" s="31">
        <f>IF(ISERROR(SUM(LB_lb_gas_kWh,LB_rest_gas_kWh)/1000),0,SUM(LB_lb_gas_kWh,LB_rest_gas_kWh)/1000)*0.902</f>
        <v>186.86383314339244</v>
      </c>
      <c r="E5" s="18">
        <f>B17*'E Balans VL '!I25/3.6*1000000/100</f>
        <v>26.45778602459367</v>
      </c>
      <c r="F5" s="18">
        <f>B17*('E Balans VL '!L25/3.6*1000000+'E Balans VL '!N25/3.6*1000000)/100</f>
        <v>8938.5871348347791</v>
      </c>
      <c r="G5" s="19"/>
      <c r="H5" s="18"/>
      <c r="I5" s="18"/>
      <c r="J5" s="18">
        <f>('E Balans VL '!D25+'E Balans VL '!E25)/3.6*1000000*landbouw!B17/100</f>
        <v>267.30484483467359</v>
      </c>
      <c r="K5" s="18"/>
      <c r="L5" s="18">
        <f>L6*(-1)</f>
        <v>0</v>
      </c>
      <c r="M5" s="18"/>
      <c r="N5" s="18">
        <f>N6*(-1)</f>
        <v>10.392857142857142</v>
      </c>
      <c r="O5" s="18"/>
      <c r="P5" s="18"/>
      <c r="R5" s="33"/>
    </row>
    <row r="6" spans="1:18">
      <c r="A6" s="17" t="s">
        <v>488</v>
      </c>
      <c r="B6" s="18" t="s">
        <v>204</v>
      </c>
      <c r="C6" s="18">
        <f>'lokale energieproductie'!O39+'lokale energieproductie'!O32</f>
        <v>5.1964285714285703</v>
      </c>
      <c r="D6" s="305">
        <f>('lokale energieproductie'!P32+'lokale energieproductie'!P39)*(-1)</f>
        <v>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-10.392857142857142</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2679.2200895205133</v>
      </c>
      <c r="C8" s="22">
        <f>C5+C6</f>
        <v>5.1964285714285703</v>
      </c>
      <c r="D8" s="22">
        <f>MAX((D5+D6),0)</f>
        <v>186.86383314339244</v>
      </c>
      <c r="E8" s="22">
        <f>MAX((E5+E6),0)</f>
        <v>26.45778602459367</v>
      </c>
      <c r="F8" s="22">
        <f>MAX((F5+F6),0)</f>
        <v>8938.5871348347791</v>
      </c>
      <c r="G8" s="22"/>
      <c r="H8" s="22"/>
      <c r="I8" s="22"/>
      <c r="J8" s="22">
        <f>MAX((J5+J6),0)</f>
        <v>267.30484483467359</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0.20874248261505401</v>
      </c>
      <c r="C10" s="32">
        <f ca="1">'EF ele_warmte'!B22</f>
        <v>0</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559.26705295863917</v>
      </c>
      <c r="C12" s="24">
        <f ca="1">C8*C10</f>
        <v>0</v>
      </c>
      <c r="D12" s="24">
        <f>D8*D10</f>
        <v>37.746494294965274</v>
      </c>
      <c r="E12" s="24">
        <f>E8*E10</f>
        <v>6.0059174275827631</v>
      </c>
      <c r="F12" s="24">
        <f>F8*F10</f>
        <v>2386.6027650008859</v>
      </c>
      <c r="G12" s="24"/>
      <c r="H12" s="24"/>
      <c r="I12" s="24"/>
      <c r="J12" s="24">
        <f>J8*J10</f>
        <v>94.625915071474452</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0.36272358755263495</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266.72593283752224</v>
      </c>
      <c r="C26" s="246">
        <f>B26*'GWP N2O_CH4'!B5</f>
        <v>5601.2445895879673</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54.530079815312931</v>
      </c>
      <c r="C27" s="246">
        <f>B27*'GWP N2O_CH4'!B5</f>
        <v>1145.1316761215714</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3.9201378164353615</v>
      </c>
      <c r="C28" s="246">
        <f>B28*'GWP N2O_CH4'!B4</f>
        <v>1215.242723094962</v>
      </c>
      <c r="D28" s="51"/>
    </row>
    <row r="29" spans="1:4">
      <c r="A29" s="42" t="s">
        <v>266</v>
      </c>
      <c r="B29" s="246">
        <f>B34*'ha_N2O bodem landbouw'!B4</f>
        <v>12.260656070754258</v>
      </c>
      <c r="C29" s="246">
        <f>B29*'GWP N2O_CH4'!B4</f>
        <v>3800.8033819338202</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3.3099911703789293E-3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1.2317460133959319E-5</v>
      </c>
      <c r="C5" s="433" t="s">
        <v>204</v>
      </c>
      <c r="D5" s="418">
        <f>SUM(D6:D11)</f>
        <v>1.9671547691659205E-5</v>
      </c>
      <c r="E5" s="418">
        <f>SUM(E6:E11)</f>
        <v>1.2220118041349213E-3</v>
      </c>
      <c r="F5" s="431" t="s">
        <v>204</v>
      </c>
      <c r="G5" s="418">
        <f>SUM(G6:G11)</f>
        <v>0.21665134178495526</v>
      </c>
      <c r="H5" s="418">
        <f>SUM(H6:H11)</f>
        <v>4.8971119517602073E-2</v>
      </c>
      <c r="I5" s="433" t="s">
        <v>204</v>
      </c>
      <c r="J5" s="433" t="s">
        <v>204</v>
      </c>
      <c r="K5" s="433" t="s">
        <v>204</v>
      </c>
      <c r="L5" s="433" t="s">
        <v>204</v>
      </c>
      <c r="M5" s="418">
        <f>SUM(M6:M11)</f>
        <v>1.1883198264925888E-2</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4.530405107335784E-6</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5.2544457482163165E-6</v>
      </c>
      <c r="E6" s="421">
        <f>vkm_GW_PW*SUMIFS(TableVerdeelsleutelVkm[LPG],TableVerdeelsleutelVkm[Voertuigtype],"Lichte voertuigen")*SUMIFS(TableECFTransport[EnergieConsumptieFactor (PJ per km)],TableECFTransport[Index],CONCATENATE($A6,"_LPG_LPG"))</f>
        <v>3.4010096281725938E-4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5.3624312264659496E-2</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1.3559620364191304E-2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3.0071573155872871E-3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5.1428907520293882E-8</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8.5074175216077533E-3</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2.651333913918743E-7</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3.7855401487024666E-4</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7.627012767457376E-6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1.4417101943442888E-5</v>
      </c>
      <c r="E8" s="421">
        <f>vkm_NGW_PW*SUMIFS(TableVerdeelsleutelVkm[LPG],TableVerdeelsleutelVkm[Voertuigtype],"Lichte voertuigen")*SUMIFS(TableECFTransport[EnergieConsumptieFactor (PJ per km)],TableECFTransport[Index],CONCATENATE($A8,"_LPG_LPG"))</f>
        <v>8.8191084131766199E-4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0.13147981284747709</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3.5410558159947855E-2</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7.4722883929359621E-3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1.0861335164586429E-7</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2.3039799151210939E-2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6.7586007151946271E-7</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1.0251985415323909E-3</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1">
        <f>vkm_SW_PW*SUMIFS(TableVerdeelsleutelVkm[LPG],TableVerdeelsleutelVkm[Voertuigtype],"Lichte voertuigen")*SUMIFS(TableECFTransport[EnergieConsumptieFactor (PJ per km)],TableECFTransport[Index],CONCATENATE($A10,"_LPG_LPG"))</f>
        <v>0</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3.4215167038775887</v>
      </c>
      <c r="C14" s="22"/>
      <c r="D14" s="22">
        <f t="shared" ref="D14:M14" si="0">((D5)*10^9/3600)+D12</f>
        <v>5.464318803238668</v>
      </c>
      <c r="E14" s="22">
        <f t="shared" si="0"/>
        <v>339.44772337081145</v>
      </c>
      <c r="F14" s="22"/>
      <c r="G14" s="22">
        <f t="shared" si="0"/>
        <v>60180.928273598685</v>
      </c>
      <c r="H14" s="22">
        <f t="shared" si="0"/>
        <v>13603.088754889464</v>
      </c>
      <c r="I14" s="22"/>
      <c r="J14" s="22"/>
      <c r="K14" s="22"/>
      <c r="L14" s="22"/>
      <c r="M14" s="22">
        <f t="shared" si="0"/>
        <v>3300.8884069238579</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0.20874248261505401</v>
      </c>
      <c r="C16" s="57">
        <f ca="1">'EF ele_warmte'!B22</f>
        <v>0</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0.71421589107628447</v>
      </c>
      <c r="C18" s="24"/>
      <c r="D18" s="24">
        <f t="shared" ref="D18:M18" si="1">D14*D16</f>
        <v>1.103792398254211</v>
      </c>
      <c r="E18" s="24">
        <f t="shared" si="1"/>
        <v>77.054633205174198</v>
      </c>
      <c r="F18" s="24"/>
      <c r="G18" s="24">
        <f t="shared" si="1"/>
        <v>16068.307849050851</v>
      </c>
      <c r="H18" s="24">
        <f t="shared" si="1"/>
        <v>3387.1690999674765</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2.8301535838912797E-5</v>
      </c>
      <c r="C50" s="316">
        <f t="shared" ref="C50:P50" si="2">SUM(C51:C52)</f>
        <v>0</v>
      </c>
      <c r="D50" s="316">
        <f t="shared" si="2"/>
        <v>0</v>
      </c>
      <c r="E50" s="316">
        <f t="shared" si="2"/>
        <v>0</v>
      </c>
      <c r="F50" s="316">
        <f t="shared" si="2"/>
        <v>0</v>
      </c>
      <c r="G50" s="316">
        <f t="shared" si="2"/>
        <v>5.6447972777477753E-3</v>
      </c>
      <c r="H50" s="316">
        <f t="shared" si="2"/>
        <v>0</v>
      </c>
      <c r="I50" s="316">
        <f t="shared" si="2"/>
        <v>0</v>
      </c>
      <c r="J50" s="316">
        <f t="shared" si="2"/>
        <v>0</v>
      </c>
      <c r="K50" s="316">
        <f t="shared" si="2"/>
        <v>0</v>
      </c>
      <c r="L50" s="316">
        <f t="shared" si="2"/>
        <v>0</v>
      </c>
      <c r="M50" s="316">
        <f t="shared" si="2"/>
        <v>2.4949402772504503E-4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2.8301535838912797E-5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5.6447972777477753E-3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2.4949402772504503E-4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7.8615377330313327</v>
      </c>
      <c r="C54" s="22">
        <f t="shared" ref="C54:P54" si="3">(C50)*10^9/3600</f>
        <v>0</v>
      </c>
      <c r="D54" s="22">
        <f t="shared" si="3"/>
        <v>0</v>
      </c>
      <c r="E54" s="22">
        <f t="shared" si="3"/>
        <v>0</v>
      </c>
      <c r="F54" s="22">
        <f t="shared" si="3"/>
        <v>0</v>
      </c>
      <c r="G54" s="22">
        <f t="shared" si="3"/>
        <v>1567.9992438188265</v>
      </c>
      <c r="H54" s="22">
        <f t="shared" si="3"/>
        <v>0</v>
      </c>
      <c r="I54" s="22">
        <f t="shared" si="3"/>
        <v>0</v>
      </c>
      <c r="J54" s="22">
        <f t="shared" si="3"/>
        <v>0</v>
      </c>
      <c r="K54" s="22">
        <f t="shared" si="3"/>
        <v>0</v>
      </c>
      <c r="L54" s="22">
        <f t="shared" si="3"/>
        <v>0</v>
      </c>
      <c r="M54" s="22">
        <f t="shared" si="3"/>
        <v>69.303896590290293</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0.20874248261505401</v>
      </c>
      <c r="C56" s="57">
        <f ca="1">'EF ele_warmte'!B22</f>
        <v>0</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1.6410369035648842</v>
      </c>
      <c r="C58" s="24">
        <f t="shared" ref="C58:P58" ca="1" si="4">C54*C56</f>
        <v>0</v>
      </c>
      <c r="D58" s="24">
        <f t="shared" si="4"/>
        <v>0</v>
      </c>
      <c r="E58" s="24">
        <f t="shared" si="4"/>
        <v>0</v>
      </c>
      <c r="F58" s="24">
        <f t="shared" si="4"/>
        <v>0</v>
      </c>
      <c r="G58" s="24">
        <f t="shared" si="4"/>
        <v>418.65579809962668</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3188.8708982914886</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3.6374999999999993</v>
      </c>
      <c r="C8" s="544">
        <f>B48</f>
        <v>0</v>
      </c>
      <c r="D8" s="931"/>
      <c r="E8" s="931">
        <f>E48</f>
        <v>0</v>
      </c>
      <c r="F8" s="932"/>
      <c r="G8" s="545"/>
      <c r="H8" s="931">
        <f>I48</f>
        <v>0</v>
      </c>
      <c r="I8" s="931">
        <f>G48+F48</f>
        <v>0</v>
      </c>
      <c r="J8" s="931">
        <f>H48+D48+C48</f>
        <v>4.2794117647058822</v>
      </c>
      <c r="K8" s="931"/>
      <c r="L8" s="931"/>
      <c r="M8" s="931"/>
      <c r="N8" s="546"/>
      <c r="O8" s="547">
        <f>C8*$C$12+D8*$D$12+E8*$E$12+F8*$F$12+G8*$G$12+H8*$H$12+I8*$I$12+J8*$J$12</f>
        <v>0</v>
      </c>
      <c r="P8" s="1206"/>
      <c r="Q8" s="1207"/>
      <c r="S8" s="968"/>
      <c r="T8" s="1227"/>
      <c r="U8" s="1227"/>
    </row>
    <row r="9" spans="1:21" s="532" customFormat="1" ht="17.45" customHeight="1" thickBot="1">
      <c r="A9" s="548" t="s">
        <v>237</v>
      </c>
      <c r="B9" s="933">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3192.5083982914884</v>
      </c>
      <c r="C10" s="556">
        <f t="shared" ref="C10:L10" si="0">SUM(C8:C9)</f>
        <v>0</v>
      </c>
      <c r="D10" s="556">
        <f t="shared" si="0"/>
        <v>0</v>
      </c>
      <c r="E10" s="556">
        <f t="shared" si="0"/>
        <v>0</v>
      </c>
      <c r="F10" s="556">
        <f t="shared" si="0"/>
        <v>0</v>
      </c>
      <c r="G10" s="556">
        <f t="shared" si="0"/>
        <v>0</v>
      </c>
      <c r="H10" s="556">
        <f t="shared" si="0"/>
        <v>0</v>
      </c>
      <c r="I10" s="556">
        <f t="shared" si="0"/>
        <v>0</v>
      </c>
      <c r="J10" s="556">
        <f t="shared" si="0"/>
        <v>4.2794117647058822</v>
      </c>
      <c r="K10" s="556">
        <f t="shared" si="0"/>
        <v>0</v>
      </c>
      <c r="L10" s="556">
        <f t="shared" si="0"/>
        <v>0</v>
      </c>
      <c r="M10" s="935"/>
      <c r="N10" s="935"/>
      <c r="O10" s="557">
        <f>SUM(O4:O9)</f>
        <v>0</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5.1964285714285703</v>
      </c>
      <c r="C17" s="568">
        <f>B49</f>
        <v>0</v>
      </c>
      <c r="D17" s="569"/>
      <c r="E17" s="569">
        <f>E49</f>
        <v>0</v>
      </c>
      <c r="F17" s="570"/>
      <c r="G17" s="571"/>
      <c r="H17" s="568">
        <f>I49</f>
        <v>0</v>
      </c>
      <c r="I17" s="569">
        <f>G49+F49</f>
        <v>0</v>
      </c>
      <c r="J17" s="569">
        <f>H49+D49+C49</f>
        <v>6.1134453781512601</v>
      </c>
      <c r="K17" s="569"/>
      <c r="L17" s="569"/>
      <c r="M17" s="569"/>
      <c r="N17" s="938"/>
      <c r="O17" s="572">
        <f>C17*$C$22+E17*$E$22+H17*$H$22+I17*$I$22+J17*$J$22+D17*$D$22+F17*$F$22+G17*$G$22+K17*$K$22+L17*$L$22</f>
        <v>0</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5.1964285714285703</v>
      </c>
      <c r="C20" s="555">
        <f>SUM(C17:C19)</f>
        <v>0</v>
      </c>
      <c r="D20" s="555">
        <f t="shared" ref="D20:L20" si="1">SUM(D17:D19)</f>
        <v>0</v>
      </c>
      <c r="E20" s="555">
        <f t="shared" si="1"/>
        <v>0</v>
      </c>
      <c r="F20" s="555">
        <f t="shared" si="1"/>
        <v>0</v>
      </c>
      <c r="G20" s="555">
        <f t="shared" si="1"/>
        <v>0</v>
      </c>
      <c r="H20" s="555">
        <f t="shared" si="1"/>
        <v>0</v>
      </c>
      <c r="I20" s="555">
        <f t="shared" si="1"/>
        <v>0</v>
      </c>
      <c r="J20" s="555">
        <f t="shared" si="1"/>
        <v>6.1134453781512601</v>
      </c>
      <c r="K20" s="555">
        <f t="shared" si="1"/>
        <v>0</v>
      </c>
      <c r="L20" s="555">
        <f t="shared" si="1"/>
        <v>0</v>
      </c>
      <c r="M20" s="555"/>
      <c r="N20" s="555"/>
      <c r="O20" s="576">
        <f>SUM(O17:O19)</f>
        <v>0</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25.5" hidden="1">
      <c r="A28" s="580"/>
      <c r="B28" s="740">
        <v>23052</v>
      </c>
      <c r="C28" s="740">
        <v>1785</v>
      </c>
      <c r="D28" s="628"/>
      <c r="E28" s="627"/>
      <c r="F28" s="627"/>
      <c r="G28" s="627" t="s">
        <v>942</v>
      </c>
      <c r="H28" s="627" t="s">
        <v>943</v>
      </c>
      <c r="I28" s="627"/>
      <c r="J28" s="739"/>
      <c r="K28" s="739"/>
      <c r="L28" s="627" t="s">
        <v>944</v>
      </c>
      <c r="M28" s="627">
        <v>9.6999999999999993</v>
      </c>
      <c r="N28" s="627">
        <v>3.6374999999999993</v>
      </c>
      <c r="O28" s="627">
        <v>5.1964285714285703</v>
      </c>
      <c r="P28" s="627">
        <v>0</v>
      </c>
      <c r="Q28" s="627">
        <v>10.392857142857142</v>
      </c>
      <c r="R28" s="627">
        <v>0</v>
      </c>
      <c r="S28" s="627">
        <v>0</v>
      </c>
      <c r="T28" s="627">
        <v>0</v>
      </c>
      <c r="U28" s="627">
        <v>0</v>
      </c>
      <c r="V28" s="627">
        <v>0</v>
      </c>
      <c r="W28" s="627"/>
      <c r="X28" s="627"/>
      <c r="Y28" s="627">
        <v>10</v>
      </c>
      <c r="Z28" s="627" t="s">
        <v>105</v>
      </c>
      <c r="AA28" s="629" t="s">
        <v>105</v>
      </c>
    </row>
    <row r="29" spans="1:27" s="563" customFormat="1" hidden="1">
      <c r="A29" s="583" t="s">
        <v>269</v>
      </c>
      <c r="B29" s="584"/>
      <c r="C29" s="584"/>
      <c r="D29" s="584"/>
      <c r="E29" s="584"/>
      <c r="F29" s="584"/>
      <c r="G29" s="584"/>
      <c r="H29" s="584"/>
      <c r="I29" s="584"/>
      <c r="J29" s="584"/>
      <c r="K29" s="584"/>
      <c r="L29" s="585"/>
      <c r="M29" s="585">
        <f>SUM(M28:M28)</f>
        <v>9.6999999999999993</v>
      </c>
      <c r="N29" s="585">
        <f>SUM(N28:N28)</f>
        <v>3.6374999999999993</v>
      </c>
      <c r="O29" s="585">
        <f>SUM(O28:O28)</f>
        <v>5.1964285714285703</v>
      </c>
      <c r="P29" s="585">
        <f>SUM(P28:P28)</f>
        <v>0</v>
      </c>
      <c r="Q29" s="585">
        <f>SUM(Q28:Q28)</f>
        <v>10.392857142857142</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0</v>
      </c>
      <c r="N31" s="585">
        <f ca="1">SUMIF($AA$28:AE28,"tertiair",N28:N28)</f>
        <v>0</v>
      </c>
      <c r="O31" s="585">
        <f ca="1">SUMIF($AA$28:AF28,"tertiair",O28:O28)</f>
        <v>0</v>
      </c>
      <c r="P31" s="585">
        <f ca="1">SUMIF($AA$28:AG28,"tertiair",P28:P28)</f>
        <v>0</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9.6999999999999993</v>
      </c>
      <c r="N32" s="590">
        <f>SUMIF($AA$28:$AA$28,"landbouw",N28:N28)</f>
        <v>3.6374999999999993</v>
      </c>
      <c r="O32" s="590">
        <f>SUMIF($AA$28:$AA$28,"landbouw",O28:O28)</f>
        <v>5.1964285714285703</v>
      </c>
      <c r="P32" s="590">
        <f>SUMIF($AA$28:$AA$28,"landbouw",P28:P28)</f>
        <v>0</v>
      </c>
      <c r="Q32" s="590">
        <f>SUMIF($AA$28:$AA$28,"landbouw",Q28:Q28)</f>
        <v>10.392857142857142</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12.75" hidden="1">
      <c r="A35" s="582"/>
      <c r="B35" s="740"/>
      <c r="C35" s="740"/>
      <c r="D35" s="630"/>
      <c r="E35" s="630"/>
      <c r="F35" s="630"/>
      <c r="G35" s="630"/>
      <c r="H35" s="630"/>
      <c r="I35" s="630"/>
      <c r="J35" s="739"/>
      <c r="K35" s="739"/>
      <c r="L35" s="630"/>
      <c r="M35" s="630"/>
      <c r="N35" s="630"/>
      <c r="O35" s="630"/>
      <c r="P35" s="630"/>
      <c r="Q35" s="630"/>
      <c r="R35" s="630"/>
      <c r="S35" s="630"/>
      <c r="T35" s="630"/>
      <c r="U35" s="630"/>
      <c r="V35" s="630"/>
      <c r="W35" s="630"/>
      <c r="X35" s="630"/>
      <c r="Y35" s="630"/>
      <c r="Z35" s="630"/>
      <c r="AA35" s="631"/>
    </row>
    <row r="36" spans="1:28" s="563" customFormat="1" hidden="1">
      <c r="A36" s="583" t="s">
        <v>269</v>
      </c>
      <c r="B36" s="584"/>
      <c r="C36" s="584"/>
      <c r="D36" s="584"/>
      <c r="E36" s="584"/>
      <c r="F36" s="584"/>
      <c r="G36" s="584"/>
      <c r="H36" s="584"/>
      <c r="I36" s="584"/>
      <c r="J36" s="584"/>
      <c r="K36" s="584"/>
      <c r="L36" s="585"/>
      <c r="M36" s="585">
        <f>SUM(M35:M35)</f>
        <v>0</v>
      </c>
      <c r="N36" s="585">
        <f>SUM(N35:N35)</f>
        <v>0</v>
      </c>
      <c r="O36" s="585">
        <f>SUM(O35:O35)</f>
        <v>0</v>
      </c>
      <c r="P36" s="585">
        <f>SUM(P35:P35)</f>
        <v>0</v>
      </c>
      <c r="Q36" s="585">
        <f>SUM(Q35:Q35)</f>
        <v>0</v>
      </c>
      <c r="R36" s="585">
        <f>SUM(R35:R35)</f>
        <v>0</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0</v>
      </c>
      <c r="N38" s="585">
        <f>SUMIF($AA$35:$AA$36,"tertiair",N35:N36)</f>
        <v>0</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0.58823529411764708</v>
      </c>
      <c r="C45" s="610">
        <f>IF(ISERROR(N29/(O29+N29)),0,N29/(N29+O29))</f>
        <v>0.41176470588235298</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0</v>
      </c>
      <c r="C48" s="619">
        <f t="shared" si="2"/>
        <v>4.2794117647058822</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0</v>
      </c>
      <c r="C49" s="622">
        <f t="shared" si="3"/>
        <v>6.1134453781512601</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16564.589559012122</v>
      </c>
      <c r="D10" s="639">
        <f ca="1">tertiair!C16</f>
        <v>0</v>
      </c>
      <c r="E10" s="639">
        <f ca="1">tertiair!D16</f>
        <v>19340.875984365703</v>
      </c>
      <c r="F10" s="639">
        <f>tertiair!E16</f>
        <v>135.5004283827237</v>
      </c>
      <c r="G10" s="639">
        <f ca="1">tertiair!F16</f>
        <v>2976.0923280766333</v>
      </c>
      <c r="H10" s="639">
        <f>tertiair!G16</f>
        <v>0</v>
      </c>
      <c r="I10" s="639">
        <f>tertiair!H16</f>
        <v>0</v>
      </c>
      <c r="J10" s="639">
        <f>tertiair!I16</f>
        <v>0</v>
      </c>
      <c r="K10" s="639">
        <f>tertiair!J16</f>
        <v>0</v>
      </c>
      <c r="L10" s="639">
        <f>tertiair!K16</f>
        <v>0</v>
      </c>
      <c r="M10" s="639">
        <f ca="1">tertiair!L16</f>
        <v>0</v>
      </c>
      <c r="N10" s="639">
        <f>tertiair!M16</f>
        <v>0</v>
      </c>
      <c r="O10" s="639">
        <f ca="1">tertiair!N16</f>
        <v>1032.2520304993006</v>
      </c>
      <c r="P10" s="639">
        <f>tertiair!O16</f>
        <v>1.5633333333333335</v>
      </c>
      <c r="Q10" s="640">
        <f>tertiair!P16</f>
        <v>19.066666666666666</v>
      </c>
      <c r="R10" s="642">
        <f ca="1">SUM(C10:Q10)</f>
        <v>40069.940330336482</v>
      </c>
      <c r="S10" s="68"/>
    </row>
    <row r="11" spans="1:19" s="443" customFormat="1">
      <c r="A11" s="753" t="s">
        <v>214</v>
      </c>
      <c r="B11" s="758"/>
      <c r="C11" s="639">
        <f>huishoudens!B8</f>
        <v>33017.96818861361</v>
      </c>
      <c r="D11" s="639">
        <f>huishoudens!C8</f>
        <v>0</v>
      </c>
      <c r="E11" s="639">
        <f>huishoudens!D8</f>
        <v>47766.0311241362</v>
      </c>
      <c r="F11" s="639">
        <f>huishoudens!E8</f>
        <v>1850.201492823707</v>
      </c>
      <c r="G11" s="639">
        <f>huishoudens!F8</f>
        <v>56407.271833857507</v>
      </c>
      <c r="H11" s="639">
        <f>huishoudens!G8</f>
        <v>0</v>
      </c>
      <c r="I11" s="639">
        <f>huishoudens!H8</f>
        <v>0</v>
      </c>
      <c r="J11" s="639">
        <f>huishoudens!I8</f>
        <v>0</v>
      </c>
      <c r="K11" s="639">
        <f>huishoudens!J8</f>
        <v>1023.490292546469</v>
      </c>
      <c r="L11" s="639">
        <f>huishoudens!K8</f>
        <v>0</v>
      </c>
      <c r="M11" s="639">
        <f>huishoudens!L8</f>
        <v>0</v>
      </c>
      <c r="N11" s="639">
        <f>huishoudens!M8</f>
        <v>0</v>
      </c>
      <c r="O11" s="639">
        <f>huishoudens!N8</f>
        <v>9776.8167828951482</v>
      </c>
      <c r="P11" s="639">
        <f>huishoudens!O8</f>
        <v>87.546666666666681</v>
      </c>
      <c r="Q11" s="640">
        <f>huishoudens!P8</f>
        <v>572</v>
      </c>
      <c r="R11" s="642">
        <f>SUM(C11:Q11)</f>
        <v>150501.32638153929</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3943.0122379800964</v>
      </c>
      <c r="D13" s="639">
        <f>industrie!C18</f>
        <v>0</v>
      </c>
      <c r="E13" s="639">
        <f>industrie!D18</f>
        <v>2354.8825736701506</v>
      </c>
      <c r="F13" s="639">
        <f>industrie!E18</f>
        <v>45.889855710814871</v>
      </c>
      <c r="G13" s="639">
        <f>industrie!F18</f>
        <v>1150.3079576334237</v>
      </c>
      <c r="H13" s="639">
        <f>industrie!G18</f>
        <v>0</v>
      </c>
      <c r="I13" s="639">
        <f>industrie!H18</f>
        <v>0</v>
      </c>
      <c r="J13" s="639">
        <f>industrie!I18</f>
        <v>0</v>
      </c>
      <c r="K13" s="639">
        <f>industrie!J18</f>
        <v>11.038072623722158</v>
      </c>
      <c r="L13" s="639">
        <f>industrie!K18</f>
        <v>0</v>
      </c>
      <c r="M13" s="639">
        <f>industrie!L18</f>
        <v>0</v>
      </c>
      <c r="N13" s="639">
        <f>industrie!M18</f>
        <v>0</v>
      </c>
      <c r="O13" s="639">
        <f>industrie!N18</f>
        <v>309.53284674749949</v>
      </c>
      <c r="P13" s="639">
        <f>industrie!O18</f>
        <v>0</v>
      </c>
      <c r="Q13" s="640">
        <f>industrie!P18</f>
        <v>0</v>
      </c>
      <c r="R13" s="642">
        <f>SUM(C13:Q13)</f>
        <v>7814.6635443657069</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53525.569985605827</v>
      </c>
      <c r="D16" s="672">
        <f t="shared" ref="D16:R16" ca="1" si="0">SUM(D9:D15)</f>
        <v>0</v>
      </c>
      <c r="E16" s="672">
        <f t="shared" ca="1" si="0"/>
        <v>69461.789682172064</v>
      </c>
      <c r="F16" s="672">
        <f t="shared" si="0"/>
        <v>2031.5917769172454</v>
      </c>
      <c r="G16" s="672">
        <f t="shared" ca="1" si="0"/>
        <v>60533.672119567564</v>
      </c>
      <c r="H16" s="672">
        <f t="shared" si="0"/>
        <v>0</v>
      </c>
      <c r="I16" s="672">
        <f t="shared" si="0"/>
        <v>0</v>
      </c>
      <c r="J16" s="672">
        <f t="shared" si="0"/>
        <v>0</v>
      </c>
      <c r="K16" s="672">
        <f t="shared" si="0"/>
        <v>1034.5283651701911</v>
      </c>
      <c r="L16" s="672">
        <f t="shared" si="0"/>
        <v>0</v>
      </c>
      <c r="M16" s="672">
        <f t="shared" ca="1" si="0"/>
        <v>0</v>
      </c>
      <c r="N16" s="672">
        <f t="shared" si="0"/>
        <v>0</v>
      </c>
      <c r="O16" s="672">
        <f t="shared" ca="1" si="0"/>
        <v>11118.601660141949</v>
      </c>
      <c r="P16" s="672">
        <f t="shared" si="0"/>
        <v>89.110000000000014</v>
      </c>
      <c r="Q16" s="672">
        <f t="shared" si="0"/>
        <v>591.06666666666672</v>
      </c>
      <c r="R16" s="672">
        <f t="shared" ca="1" si="0"/>
        <v>198385.93025624147</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7.8615377330313327</v>
      </c>
      <c r="D19" s="639">
        <f>transport!C54</f>
        <v>0</v>
      </c>
      <c r="E19" s="639">
        <f>transport!D54</f>
        <v>0</v>
      </c>
      <c r="F19" s="639">
        <f>transport!E54</f>
        <v>0</v>
      </c>
      <c r="G19" s="639">
        <f>transport!F54</f>
        <v>0</v>
      </c>
      <c r="H19" s="639">
        <f>transport!G54</f>
        <v>1567.9992438188265</v>
      </c>
      <c r="I19" s="639">
        <f>transport!H54</f>
        <v>0</v>
      </c>
      <c r="J19" s="639">
        <f>transport!I54</f>
        <v>0</v>
      </c>
      <c r="K19" s="639">
        <f>transport!J54</f>
        <v>0</v>
      </c>
      <c r="L19" s="639">
        <f>transport!K54</f>
        <v>0</v>
      </c>
      <c r="M19" s="639">
        <f>transport!L54</f>
        <v>0</v>
      </c>
      <c r="N19" s="639">
        <f>transport!M54</f>
        <v>69.303896590290293</v>
      </c>
      <c r="O19" s="639">
        <f>transport!N54</f>
        <v>0</v>
      </c>
      <c r="P19" s="639">
        <f>transport!O54</f>
        <v>0</v>
      </c>
      <c r="Q19" s="640">
        <f>transport!P54</f>
        <v>0</v>
      </c>
      <c r="R19" s="642">
        <f>SUM(C19:Q19)</f>
        <v>1645.1646781421482</v>
      </c>
      <c r="S19" s="68"/>
    </row>
    <row r="20" spans="1:19" s="443" customFormat="1">
      <c r="A20" s="753" t="s">
        <v>296</v>
      </c>
      <c r="B20" s="758"/>
      <c r="C20" s="639">
        <f>transport!B14</f>
        <v>3.4215167038775887</v>
      </c>
      <c r="D20" s="639">
        <f>transport!C14</f>
        <v>0</v>
      </c>
      <c r="E20" s="639">
        <f>transport!D14</f>
        <v>5.464318803238668</v>
      </c>
      <c r="F20" s="639">
        <f>transport!E14</f>
        <v>339.44772337081145</v>
      </c>
      <c r="G20" s="639">
        <f>transport!F14</f>
        <v>0</v>
      </c>
      <c r="H20" s="639">
        <f>transport!G14</f>
        <v>60180.928273598685</v>
      </c>
      <c r="I20" s="639">
        <f>transport!H14</f>
        <v>13603.088754889464</v>
      </c>
      <c r="J20" s="639">
        <f>transport!I14</f>
        <v>0</v>
      </c>
      <c r="K20" s="639">
        <f>transport!J14</f>
        <v>0</v>
      </c>
      <c r="L20" s="639">
        <f>transport!K14</f>
        <v>0</v>
      </c>
      <c r="M20" s="639">
        <f>transport!L14</f>
        <v>0</v>
      </c>
      <c r="N20" s="639">
        <f>transport!M14</f>
        <v>3300.8884069238579</v>
      </c>
      <c r="O20" s="639">
        <f>transport!N14</f>
        <v>0</v>
      </c>
      <c r="P20" s="639">
        <f>transport!O14</f>
        <v>0</v>
      </c>
      <c r="Q20" s="640">
        <f>transport!P14</f>
        <v>0</v>
      </c>
      <c r="R20" s="642">
        <f>SUM(C20:Q20)</f>
        <v>77433.238994289932</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11.283054436908921</v>
      </c>
      <c r="D22" s="756">
        <f t="shared" ref="D22:R22" si="1">SUM(D18:D21)</f>
        <v>0</v>
      </c>
      <c r="E22" s="756">
        <f t="shared" si="1"/>
        <v>5.464318803238668</v>
      </c>
      <c r="F22" s="756">
        <f t="shared" si="1"/>
        <v>339.44772337081145</v>
      </c>
      <c r="G22" s="756">
        <f t="shared" si="1"/>
        <v>0</v>
      </c>
      <c r="H22" s="756">
        <f t="shared" si="1"/>
        <v>61748.927517417513</v>
      </c>
      <c r="I22" s="756">
        <f t="shared" si="1"/>
        <v>13603.088754889464</v>
      </c>
      <c r="J22" s="756">
        <f t="shared" si="1"/>
        <v>0</v>
      </c>
      <c r="K22" s="756">
        <f t="shared" si="1"/>
        <v>0</v>
      </c>
      <c r="L22" s="756">
        <f t="shared" si="1"/>
        <v>0</v>
      </c>
      <c r="M22" s="756">
        <f t="shared" si="1"/>
        <v>0</v>
      </c>
      <c r="N22" s="756">
        <f t="shared" si="1"/>
        <v>3370.1923035141481</v>
      </c>
      <c r="O22" s="756">
        <f t="shared" si="1"/>
        <v>0</v>
      </c>
      <c r="P22" s="756">
        <f t="shared" si="1"/>
        <v>0</v>
      </c>
      <c r="Q22" s="756">
        <f t="shared" si="1"/>
        <v>0</v>
      </c>
      <c r="R22" s="756">
        <f t="shared" si="1"/>
        <v>79078.403672432076</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2679.2200895205133</v>
      </c>
      <c r="D24" s="639">
        <f>+landbouw!C8</f>
        <v>5.1964285714285703</v>
      </c>
      <c r="E24" s="639">
        <f>+landbouw!D8</f>
        <v>186.86383314339244</v>
      </c>
      <c r="F24" s="639">
        <f>+landbouw!E8</f>
        <v>26.45778602459367</v>
      </c>
      <c r="G24" s="639">
        <f>+landbouw!F8</f>
        <v>8938.5871348347791</v>
      </c>
      <c r="H24" s="639">
        <f>+landbouw!G8</f>
        <v>0</v>
      </c>
      <c r="I24" s="639">
        <f>+landbouw!H8</f>
        <v>0</v>
      </c>
      <c r="J24" s="639">
        <f>+landbouw!I8</f>
        <v>0</v>
      </c>
      <c r="K24" s="639">
        <f>+landbouw!J8</f>
        <v>267.30484483467359</v>
      </c>
      <c r="L24" s="639">
        <f>+landbouw!K8</f>
        <v>0</v>
      </c>
      <c r="M24" s="639">
        <f>+landbouw!L8</f>
        <v>0</v>
      </c>
      <c r="N24" s="639">
        <f>+landbouw!M8</f>
        <v>0</v>
      </c>
      <c r="O24" s="639">
        <f>+landbouw!N8</f>
        <v>0</v>
      </c>
      <c r="P24" s="639">
        <f>+landbouw!O8</f>
        <v>0</v>
      </c>
      <c r="Q24" s="640">
        <f>+landbouw!P8</f>
        <v>0</v>
      </c>
      <c r="R24" s="642">
        <f>SUM(C24:Q24)</f>
        <v>12103.630116929382</v>
      </c>
      <c r="S24" s="68"/>
    </row>
    <row r="25" spans="1:19" s="443" customFormat="1" ht="15" thickBot="1">
      <c r="A25" s="775" t="s">
        <v>847</v>
      </c>
      <c r="B25" s="941"/>
      <c r="C25" s="942">
        <f>IF(Onbekend_ele_kWh="---",0,Onbekend_ele_kWh)/1000+IF(REST_rest_ele_kWh="---",0,REST_rest_ele_kWh)/1000</f>
        <v>1344.06191776116</v>
      </c>
      <c r="D25" s="942"/>
      <c r="E25" s="942">
        <f>IF(onbekend_gas_kWh="---",0,onbekend_gas_kWh)/1000+IF(REST_rest_gas_kWh="---",0,REST_rest_gas_kWh)/1000</f>
        <v>1372.39612639355</v>
      </c>
      <c r="F25" s="942"/>
      <c r="G25" s="942"/>
      <c r="H25" s="942"/>
      <c r="I25" s="942"/>
      <c r="J25" s="942"/>
      <c r="K25" s="942"/>
      <c r="L25" s="942"/>
      <c r="M25" s="942"/>
      <c r="N25" s="942"/>
      <c r="O25" s="942"/>
      <c r="P25" s="942"/>
      <c r="Q25" s="943"/>
      <c r="R25" s="642">
        <f>SUM(C25:Q25)</f>
        <v>2716.45804415471</v>
      </c>
      <c r="S25" s="68"/>
    </row>
    <row r="26" spans="1:19" s="443" customFormat="1" ht="15.75" thickBot="1">
      <c r="A26" s="645" t="s">
        <v>848</v>
      </c>
      <c r="B26" s="761"/>
      <c r="C26" s="756">
        <f>SUM(C24:C25)</f>
        <v>4023.282007281673</v>
      </c>
      <c r="D26" s="756">
        <f t="shared" ref="D26:R26" si="2">SUM(D24:D25)</f>
        <v>5.1964285714285703</v>
      </c>
      <c r="E26" s="756">
        <f t="shared" si="2"/>
        <v>1559.2599595369425</v>
      </c>
      <c r="F26" s="756">
        <f t="shared" si="2"/>
        <v>26.45778602459367</v>
      </c>
      <c r="G26" s="756">
        <f t="shared" si="2"/>
        <v>8938.5871348347791</v>
      </c>
      <c r="H26" s="756">
        <f t="shared" si="2"/>
        <v>0</v>
      </c>
      <c r="I26" s="756">
        <f t="shared" si="2"/>
        <v>0</v>
      </c>
      <c r="J26" s="756">
        <f t="shared" si="2"/>
        <v>0</v>
      </c>
      <c r="K26" s="756">
        <f t="shared" si="2"/>
        <v>267.30484483467359</v>
      </c>
      <c r="L26" s="756">
        <f t="shared" si="2"/>
        <v>0</v>
      </c>
      <c r="M26" s="756">
        <f t="shared" si="2"/>
        <v>0</v>
      </c>
      <c r="N26" s="756">
        <f t="shared" si="2"/>
        <v>0</v>
      </c>
      <c r="O26" s="756">
        <f t="shared" si="2"/>
        <v>0</v>
      </c>
      <c r="P26" s="756">
        <f t="shared" si="2"/>
        <v>0</v>
      </c>
      <c r="Q26" s="756">
        <f t="shared" si="2"/>
        <v>0</v>
      </c>
      <c r="R26" s="756">
        <f t="shared" si="2"/>
        <v>14820.088161084092</v>
      </c>
      <c r="S26" s="68"/>
    </row>
    <row r="27" spans="1:19" s="443" customFormat="1" ht="17.25" thickTop="1" thickBot="1">
      <c r="A27" s="646" t="s">
        <v>109</v>
      </c>
      <c r="B27" s="748"/>
      <c r="C27" s="647">
        <f ca="1">C22+C16+C26</f>
        <v>57560.135047324409</v>
      </c>
      <c r="D27" s="647">
        <f t="shared" ref="D27:R27" ca="1" si="3">D22+D16+D26</f>
        <v>5.1964285714285703</v>
      </c>
      <c r="E27" s="647">
        <f t="shared" ca="1" si="3"/>
        <v>71026.513960512239</v>
      </c>
      <c r="F27" s="647">
        <f t="shared" si="3"/>
        <v>2397.4972863126504</v>
      </c>
      <c r="G27" s="647">
        <f t="shared" ca="1" si="3"/>
        <v>69472.259254402336</v>
      </c>
      <c r="H27" s="647">
        <f t="shared" si="3"/>
        <v>61748.927517417513</v>
      </c>
      <c r="I27" s="647">
        <f t="shared" si="3"/>
        <v>13603.088754889464</v>
      </c>
      <c r="J27" s="647">
        <f t="shared" si="3"/>
        <v>0</v>
      </c>
      <c r="K27" s="647">
        <f t="shared" si="3"/>
        <v>1301.8332100048647</v>
      </c>
      <c r="L27" s="647">
        <f t="shared" si="3"/>
        <v>0</v>
      </c>
      <c r="M27" s="647">
        <f t="shared" ca="1" si="3"/>
        <v>0</v>
      </c>
      <c r="N27" s="647">
        <f t="shared" si="3"/>
        <v>3370.1923035141481</v>
      </c>
      <c r="O27" s="647">
        <f t="shared" ca="1" si="3"/>
        <v>11118.601660141949</v>
      </c>
      <c r="P27" s="647">
        <f t="shared" si="3"/>
        <v>89.110000000000014</v>
      </c>
      <c r="Q27" s="647">
        <f t="shared" si="3"/>
        <v>591.06666666666672</v>
      </c>
      <c r="R27" s="647">
        <f t="shared" ca="1" si="3"/>
        <v>292284.42208975763</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3457.7335480475926</v>
      </c>
      <c r="D40" s="639">
        <f ca="1">tertiair!C20</f>
        <v>0</v>
      </c>
      <c r="E40" s="639">
        <f ca="1">tertiair!D20</f>
        <v>3906.8569488418721</v>
      </c>
      <c r="F40" s="639">
        <f>tertiair!E20</f>
        <v>30.758597242878281</v>
      </c>
      <c r="G40" s="639">
        <f ca="1">tertiair!F20</f>
        <v>794.61665159646111</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8189.965745728804</v>
      </c>
    </row>
    <row r="41" spans="1:18">
      <c r="A41" s="766" t="s">
        <v>214</v>
      </c>
      <c r="B41" s="773"/>
      <c r="C41" s="639">
        <f ca="1">huishoudens!B12</f>
        <v>6892.2526505960832</v>
      </c>
      <c r="D41" s="639">
        <f ca="1">huishoudens!C12</f>
        <v>0</v>
      </c>
      <c r="E41" s="639">
        <f>huishoudens!D12</f>
        <v>9648.7382870755137</v>
      </c>
      <c r="F41" s="639">
        <f>huishoudens!E12</f>
        <v>419.99573887098148</v>
      </c>
      <c r="G41" s="639">
        <f>huishoudens!F12</f>
        <v>15060.741579639955</v>
      </c>
      <c r="H41" s="639">
        <f>huishoudens!G12</f>
        <v>0</v>
      </c>
      <c r="I41" s="639">
        <f>huishoudens!H12</f>
        <v>0</v>
      </c>
      <c r="J41" s="639">
        <f>huishoudens!I12</f>
        <v>0</v>
      </c>
      <c r="K41" s="639">
        <f>huishoudens!J12</f>
        <v>362.31556356145001</v>
      </c>
      <c r="L41" s="639">
        <f>huishoudens!K12</f>
        <v>0</v>
      </c>
      <c r="M41" s="639">
        <f>huishoudens!L12</f>
        <v>0</v>
      </c>
      <c r="N41" s="639">
        <f>huishoudens!M12</f>
        <v>0</v>
      </c>
      <c r="O41" s="639">
        <f>huishoudens!N12</f>
        <v>0</v>
      </c>
      <c r="P41" s="639">
        <f>huishoudens!O12</f>
        <v>0</v>
      </c>
      <c r="Q41" s="714">
        <f>huishoudens!P12</f>
        <v>0</v>
      </c>
      <c r="R41" s="794">
        <f t="shared" ca="1" si="4"/>
        <v>32384.04381974398</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823.07416353750546</v>
      </c>
      <c r="D43" s="639">
        <f ca="1">industrie!C22</f>
        <v>0</v>
      </c>
      <c r="E43" s="639">
        <f>industrie!D22</f>
        <v>475.68627988137047</v>
      </c>
      <c r="F43" s="639">
        <f>industrie!E22</f>
        <v>10.416997246354976</v>
      </c>
      <c r="G43" s="639">
        <f>industrie!F22</f>
        <v>307.13222468812415</v>
      </c>
      <c r="H43" s="639">
        <f>industrie!G22</f>
        <v>0</v>
      </c>
      <c r="I43" s="639">
        <f>industrie!H22</f>
        <v>0</v>
      </c>
      <c r="J43" s="639">
        <f>industrie!I22</f>
        <v>0</v>
      </c>
      <c r="K43" s="639">
        <f>industrie!J22</f>
        <v>3.9074777087976438</v>
      </c>
      <c r="L43" s="639">
        <f>industrie!K22</f>
        <v>0</v>
      </c>
      <c r="M43" s="639">
        <f>industrie!L22</f>
        <v>0</v>
      </c>
      <c r="N43" s="639">
        <f>industrie!M22</f>
        <v>0</v>
      </c>
      <c r="O43" s="639">
        <f>industrie!N22</f>
        <v>0</v>
      </c>
      <c r="P43" s="639">
        <f>industrie!O22</f>
        <v>0</v>
      </c>
      <c r="Q43" s="714">
        <f>industrie!P22</f>
        <v>0</v>
      </c>
      <c r="R43" s="793">
        <f t="shared" ca="1" si="4"/>
        <v>1620.2171430621524</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11173.060362181181</v>
      </c>
      <c r="D46" s="672">
        <f t="shared" ref="D46:Q46" ca="1" si="5">SUM(D39:D45)</f>
        <v>0</v>
      </c>
      <c r="E46" s="672">
        <f t="shared" ca="1" si="5"/>
        <v>14031.281515798757</v>
      </c>
      <c r="F46" s="672">
        <f t="shared" si="5"/>
        <v>461.17133336021476</v>
      </c>
      <c r="G46" s="672">
        <f t="shared" ca="1" si="5"/>
        <v>16162.490455924541</v>
      </c>
      <c r="H46" s="672">
        <f t="shared" si="5"/>
        <v>0</v>
      </c>
      <c r="I46" s="672">
        <f t="shared" si="5"/>
        <v>0</v>
      </c>
      <c r="J46" s="672">
        <f t="shared" si="5"/>
        <v>0</v>
      </c>
      <c r="K46" s="672">
        <f t="shared" si="5"/>
        <v>366.22304127024768</v>
      </c>
      <c r="L46" s="672">
        <f t="shared" si="5"/>
        <v>0</v>
      </c>
      <c r="M46" s="672">
        <f t="shared" ca="1" si="5"/>
        <v>0</v>
      </c>
      <c r="N46" s="672">
        <f t="shared" si="5"/>
        <v>0</v>
      </c>
      <c r="O46" s="672">
        <f t="shared" ca="1" si="5"/>
        <v>0</v>
      </c>
      <c r="P46" s="672">
        <f t="shared" si="5"/>
        <v>0</v>
      </c>
      <c r="Q46" s="672">
        <f t="shared" si="5"/>
        <v>0</v>
      </c>
      <c r="R46" s="672">
        <f ca="1">SUM(R39:R45)</f>
        <v>42194.226708534938</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1.6410369035648842</v>
      </c>
      <c r="D49" s="639">
        <f ca="1">transport!C58</f>
        <v>0</v>
      </c>
      <c r="E49" s="639">
        <f>transport!D58</f>
        <v>0</v>
      </c>
      <c r="F49" s="639">
        <f>transport!E58</f>
        <v>0</v>
      </c>
      <c r="G49" s="639">
        <f>transport!F58</f>
        <v>0</v>
      </c>
      <c r="H49" s="639">
        <f>transport!G58</f>
        <v>418.65579809962668</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420.29683500319157</v>
      </c>
    </row>
    <row r="50" spans="1:18">
      <c r="A50" s="769" t="s">
        <v>296</v>
      </c>
      <c r="B50" s="779"/>
      <c r="C50" s="948">
        <f ca="1">transport!B18</f>
        <v>0.71421589107628447</v>
      </c>
      <c r="D50" s="948">
        <f>transport!C18</f>
        <v>0</v>
      </c>
      <c r="E50" s="948">
        <f>transport!D18</f>
        <v>1.103792398254211</v>
      </c>
      <c r="F50" s="948">
        <f>transport!E18</f>
        <v>77.054633205174198</v>
      </c>
      <c r="G50" s="948">
        <f>transport!F18</f>
        <v>0</v>
      </c>
      <c r="H50" s="948">
        <f>transport!G18</f>
        <v>16068.307849050851</v>
      </c>
      <c r="I50" s="948">
        <f>transport!H18</f>
        <v>3387.1690999674765</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19534.349590512833</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2.3552527946411685</v>
      </c>
      <c r="D52" s="672">
        <f t="shared" ref="D52:Q52" ca="1" si="6">SUM(D48:D51)</f>
        <v>0</v>
      </c>
      <c r="E52" s="672">
        <f t="shared" si="6"/>
        <v>1.103792398254211</v>
      </c>
      <c r="F52" s="672">
        <f t="shared" si="6"/>
        <v>77.054633205174198</v>
      </c>
      <c r="G52" s="672">
        <f t="shared" si="6"/>
        <v>0</v>
      </c>
      <c r="H52" s="672">
        <f t="shared" si="6"/>
        <v>16486.963647150478</v>
      </c>
      <c r="I52" s="672">
        <f t="shared" si="6"/>
        <v>3387.1690999674765</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19954.646425516024</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559.26705295863917</v>
      </c>
      <c r="D54" s="948">
        <f ca="1">+landbouw!C12</f>
        <v>0</v>
      </c>
      <c r="E54" s="948">
        <f>+landbouw!D12</f>
        <v>37.746494294965274</v>
      </c>
      <c r="F54" s="948">
        <f>+landbouw!E12</f>
        <v>6.0059174275827631</v>
      </c>
      <c r="G54" s="948">
        <f>+landbouw!F12</f>
        <v>2386.6027650008859</v>
      </c>
      <c r="H54" s="948">
        <f>+landbouw!G12</f>
        <v>0</v>
      </c>
      <c r="I54" s="948">
        <f>+landbouw!H12</f>
        <v>0</v>
      </c>
      <c r="J54" s="948">
        <f>+landbouw!I12</f>
        <v>0</v>
      </c>
      <c r="K54" s="948">
        <f>+landbouw!J12</f>
        <v>94.625915071474452</v>
      </c>
      <c r="L54" s="948">
        <f>+landbouw!K12</f>
        <v>0</v>
      </c>
      <c r="M54" s="948">
        <f>+landbouw!L12</f>
        <v>0</v>
      </c>
      <c r="N54" s="948">
        <f>+landbouw!M12</f>
        <v>0</v>
      </c>
      <c r="O54" s="948">
        <f>+landbouw!N12</f>
        <v>0</v>
      </c>
      <c r="P54" s="948">
        <f>+landbouw!O12</f>
        <v>0</v>
      </c>
      <c r="Q54" s="949">
        <f>+landbouw!P12</f>
        <v>0</v>
      </c>
      <c r="R54" s="671">
        <f ca="1">SUM(C54:Q54)</f>
        <v>3084.2481447535479</v>
      </c>
    </row>
    <row r="55" spans="1:18" ht="15" thickBot="1">
      <c r="A55" s="769" t="s">
        <v>847</v>
      </c>
      <c r="B55" s="779"/>
      <c r="C55" s="948">
        <f ca="1">C25*'EF ele_warmte'!B12</f>
        <v>280.56282150181511</v>
      </c>
      <c r="D55" s="948"/>
      <c r="E55" s="948">
        <f>E25*EF_CO2_aardgas</f>
        <v>277.22401753149711</v>
      </c>
      <c r="F55" s="948"/>
      <c r="G55" s="948"/>
      <c r="H55" s="948"/>
      <c r="I55" s="948"/>
      <c r="J55" s="948"/>
      <c r="K55" s="948"/>
      <c r="L55" s="948"/>
      <c r="M55" s="948"/>
      <c r="N55" s="948"/>
      <c r="O55" s="948"/>
      <c r="P55" s="948"/>
      <c r="Q55" s="949"/>
      <c r="R55" s="671">
        <f ca="1">SUM(C55:Q55)</f>
        <v>557.78683903331216</v>
      </c>
    </row>
    <row r="56" spans="1:18" ht="15.75" thickBot="1">
      <c r="A56" s="767" t="s">
        <v>848</v>
      </c>
      <c r="B56" s="780"/>
      <c r="C56" s="672">
        <f ca="1">SUM(C54:C55)</f>
        <v>839.82987446045422</v>
      </c>
      <c r="D56" s="672">
        <f t="shared" ref="D56:Q56" ca="1" si="7">SUM(D54:D55)</f>
        <v>0</v>
      </c>
      <c r="E56" s="672">
        <f t="shared" si="7"/>
        <v>314.97051182646237</v>
      </c>
      <c r="F56" s="672">
        <f t="shared" si="7"/>
        <v>6.0059174275827631</v>
      </c>
      <c r="G56" s="672">
        <f t="shared" si="7"/>
        <v>2386.6027650008859</v>
      </c>
      <c r="H56" s="672">
        <f t="shared" si="7"/>
        <v>0</v>
      </c>
      <c r="I56" s="672">
        <f t="shared" si="7"/>
        <v>0</v>
      </c>
      <c r="J56" s="672">
        <f t="shared" si="7"/>
        <v>0</v>
      </c>
      <c r="K56" s="672">
        <f t="shared" si="7"/>
        <v>94.625915071474452</v>
      </c>
      <c r="L56" s="672">
        <f t="shared" si="7"/>
        <v>0</v>
      </c>
      <c r="M56" s="672">
        <f t="shared" si="7"/>
        <v>0</v>
      </c>
      <c r="N56" s="672">
        <f t="shared" si="7"/>
        <v>0</v>
      </c>
      <c r="O56" s="672">
        <f t="shared" si="7"/>
        <v>0</v>
      </c>
      <c r="P56" s="672">
        <f t="shared" si="7"/>
        <v>0</v>
      </c>
      <c r="Q56" s="673">
        <f t="shared" si="7"/>
        <v>0</v>
      </c>
      <c r="R56" s="674">
        <f ca="1">SUM(R54:R55)</f>
        <v>3642.0349837868598</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12015.245489436276</v>
      </c>
      <c r="D61" s="680">
        <f t="shared" ref="D61:Q61" ca="1" si="8">D46+D52+D56</f>
        <v>0</v>
      </c>
      <c r="E61" s="680">
        <f t="shared" ca="1" si="8"/>
        <v>14347.355820023475</v>
      </c>
      <c r="F61" s="680">
        <f t="shared" si="8"/>
        <v>544.23188399297169</v>
      </c>
      <c r="G61" s="680">
        <f t="shared" ca="1" si="8"/>
        <v>18549.093220925428</v>
      </c>
      <c r="H61" s="680">
        <f t="shared" si="8"/>
        <v>16486.963647150478</v>
      </c>
      <c r="I61" s="680">
        <f t="shared" si="8"/>
        <v>3387.1690999674765</v>
      </c>
      <c r="J61" s="680">
        <f t="shared" si="8"/>
        <v>0</v>
      </c>
      <c r="K61" s="680">
        <f t="shared" si="8"/>
        <v>460.8489563417221</v>
      </c>
      <c r="L61" s="680">
        <f t="shared" si="8"/>
        <v>0</v>
      </c>
      <c r="M61" s="680">
        <f t="shared" ca="1" si="8"/>
        <v>0</v>
      </c>
      <c r="N61" s="680">
        <f t="shared" si="8"/>
        <v>0</v>
      </c>
      <c r="O61" s="680">
        <f t="shared" ca="1" si="8"/>
        <v>0</v>
      </c>
      <c r="P61" s="680">
        <f t="shared" si="8"/>
        <v>0</v>
      </c>
      <c r="Q61" s="680">
        <f t="shared" si="8"/>
        <v>0</v>
      </c>
      <c r="R61" s="680">
        <f ca="1">R46+R52+R56</f>
        <v>65790.908117837826</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0.20874248261505401</v>
      </c>
      <c r="D63" s="724">
        <f t="shared" ca="1" si="9"/>
        <v>0</v>
      </c>
      <c r="E63" s="950">
        <f t="shared" ca="1" si="9"/>
        <v>0.20200000000000004</v>
      </c>
      <c r="F63" s="724">
        <f t="shared" si="9"/>
        <v>0.22700000000000001</v>
      </c>
      <c r="G63" s="724">
        <f t="shared" ca="1" si="9"/>
        <v>0.26700000000000007</v>
      </c>
      <c r="H63" s="724">
        <f t="shared" si="9"/>
        <v>0.26700000000000002</v>
      </c>
      <c r="I63" s="724">
        <f t="shared" si="9"/>
        <v>0.249</v>
      </c>
      <c r="J63" s="724">
        <f t="shared" si="9"/>
        <v>0</v>
      </c>
      <c r="K63" s="724">
        <f t="shared" si="9"/>
        <v>0.35399999999999998</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3188.8708982914886</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3.6374999999999993</v>
      </c>
      <c r="C76" s="690">
        <f>'lokale energieproductie'!B8*IFERROR(SUM(D76:H76)/SUM(D76:O76),0)</f>
        <v>0</v>
      </c>
      <c r="D76" s="960">
        <f>'lokale energieproductie'!C8</f>
        <v>0</v>
      </c>
      <c r="E76" s="961">
        <f>'lokale energieproductie'!D8</f>
        <v>0</v>
      </c>
      <c r="F76" s="961">
        <f>'lokale energieproductie'!E8</f>
        <v>0</v>
      </c>
      <c r="G76" s="961">
        <f>'lokale energieproductie'!F8</f>
        <v>0</v>
      </c>
      <c r="H76" s="961">
        <f>'lokale energieproductie'!G8</f>
        <v>0</v>
      </c>
      <c r="I76" s="961">
        <f>'lokale energieproductie'!I8</f>
        <v>0</v>
      </c>
      <c r="J76" s="961">
        <f>'lokale energieproductie'!J8</f>
        <v>4.2794117647058822</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0</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3192.5083982914884</v>
      </c>
      <c r="C78" s="695">
        <f>SUM(C72:C77)</f>
        <v>0</v>
      </c>
      <c r="D78" s="696">
        <f t="shared" ref="D78:H78" si="10">SUM(D76:D77)</f>
        <v>0</v>
      </c>
      <c r="E78" s="696">
        <f t="shared" si="10"/>
        <v>0</v>
      </c>
      <c r="F78" s="696">
        <f t="shared" si="10"/>
        <v>0</v>
      </c>
      <c r="G78" s="696">
        <f t="shared" si="10"/>
        <v>0</v>
      </c>
      <c r="H78" s="696">
        <f t="shared" si="10"/>
        <v>0</v>
      </c>
      <c r="I78" s="696">
        <f>SUM(I76:I77)</f>
        <v>0</v>
      </c>
      <c r="J78" s="696">
        <f>SUM(J76:J77)</f>
        <v>4.2794117647058822</v>
      </c>
      <c r="K78" s="696">
        <f t="shared" ref="K78:L78" si="11">SUM(K76:K77)</f>
        <v>0</v>
      </c>
      <c r="L78" s="696">
        <f t="shared" si="11"/>
        <v>0</v>
      </c>
      <c r="M78" s="696">
        <f>SUM(M76:M77)</f>
        <v>0</v>
      </c>
      <c r="N78" s="696">
        <f>SUM(N76:N77)</f>
        <v>0</v>
      </c>
      <c r="O78" s="804">
        <f>SUM(O76:O77)</f>
        <v>0</v>
      </c>
      <c r="P78" s="697">
        <v>0</v>
      </c>
      <c r="Q78" s="697">
        <f>SUM(Q76:Q77)</f>
        <v>0</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5.1964285714285703</v>
      </c>
      <c r="C87" s="706">
        <f>'lokale energieproductie'!B17*IFERROR(SUM(D87:H87)/SUM(D87:O87),0)</f>
        <v>0</v>
      </c>
      <c r="D87" s="717">
        <f>'lokale energieproductie'!C17</f>
        <v>0</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6.1134453781512601</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0</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5.1964285714285703</v>
      </c>
      <c r="C90" s="695">
        <f>SUM(C87:C89)</f>
        <v>0</v>
      </c>
      <c r="D90" s="695">
        <f t="shared" ref="D90:H90" si="12">SUM(D87:D89)</f>
        <v>0</v>
      </c>
      <c r="E90" s="695">
        <f t="shared" si="12"/>
        <v>0</v>
      </c>
      <c r="F90" s="695">
        <f t="shared" si="12"/>
        <v>0</v>
      </c>
      <c r="G90" s="695">
        <f t="shared" si="12"/>
        <v>0</v>
      </c>
      <c r="H90" s="695">
        <f t="shared" si="12"/>
        <v>0</v>
      </c>
      <c r="I90" s="695">
        <f>SUM(I87:I89)</f>
        <v>0</v>
      </c>
      <c r="J90" s="695">
        <f>SUM(J87:J89)</f>
        <v>6.1134453781512601</v>
      </c>
      <c r="K90" s="695">
        <f t="shared" ref="K90:L90" si="13">SUM(K87:K89)</f>
        <v>0</v>
      </c>
      <c r="L90" s="695">
        <f t="shared" si="13"/>
        <v>0</v>
      </c>
      <c r="M90" s="695">
        <f>SUM(M87:M89)</f>
        <v>0</v>
      </c>
      <c r="N90" s="695">
        <f>SUM(N87:N89)</f>
        <v>0</v>
      </c>
      <c r="O90" s="695">
        <f>SUM(O87:O89)</f>
        <v>0</v>
      </c>
      <c r="P90" s="695">
        <v>0</v>
      </c>
      <c r="Q90" s="695">
        <f>SUM(Q87:Q89)</f>
        <v>0</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33017.96818861361</v>
      </c>
      <c r="C4" s="447">
        <f>huishoudens!C8</f>
        <v>0</v>
      </c>
      <c r="D4" s="447">
        <f>huishoudens!D8</f>
        <v>47766.0311241362</v>
      </c>
      <c r="E4" s="447">
        <f>huishoudens!E8</f>
        <v>1850.201492823707</v>
      </c>
      <c r="F4" s="447">
        <f>huishoudens!F8</f>
        <v>56407.271833857507</v>
      </c>
      <c r="G4" s="447">
        <f>huishoudens!G8</f>
        <v>0</v>
      </c>
      <c r="H4" s="447">
        <f>huishoudens!H8</f>
        <v>0</v>
      </c>
      <c r="I4" s="447">
        <f>huishoudens!I8</f>
        <v>0</v>
      </c>
      <c r="J4" s="447">
        <f>huishoudens!J8</f>
        <v>1023.490292546469</v>
      </c>
      <c r="K4" s="447">
        <f>huishoudens!K8</f>
        <v>0</v>
      </c>
      <c r="L4" s="447">
        <f>huishoudens!L8</f>
        <v>0</v>
      </c>
      <c r="M4" s="447">
        <f>huishoudens!M8</f>
        <v>0</v>
      </c>
      <c r="N4" s="447">
        <f>huishoudens!N8</f>
        <v>9776.8167828951482</v>
      </c>
      <c r="O4" s="447">
        <f>huishoudens!O8</f>
        <v>87.546666666666681</v>
      </c>
      <c r="P4" s="448">
        <f>huishoudens!P8</f>
        <v>572</v>
      </c>
      <c r="Q4" s="449">
        <f>SUM(B4:P4)</f>
        <v>150501.32638153929</v>
      </c>
    </row>
    <row r="5" spans="1:17">
      <c r="A5" s="446" t="s">
        <v>149</v>
      </c>
      <c r="B5" s="447">
        <f ca="1">tertiair!B16</f>
        <v>15621.049559012121</v>
      </c>
      <c r="C5" s="447">
        <f ca="1">tertiair!C16</f>
        <v>0</v>
      </c>
      <c r="D5" s="447">
        <f ca="1">tertiair!D16</f>
        <v>19340.875984365703</v>
      </c>
      <c r="E5" s="447">
        <f>tertiair!E16</f>
        <v>135.5004283827237</v>
      </c>
      <c r="F5" s="447">
        <f ca="1">tertiair!F16</f>
        <v>2976.0923280766333</v>
      </c>
      <c r="G5" s="447">
        <f>tertiair!G16</f>
        <v>0</v>
      </c>
      <c r="H5" s="447">
        <f>tertiair!H16</f>
        <v>0</v>
      </c>
      <c r="I5" s="447">
        <f>tertiair!I16</f>
        <v>0</v>
      </c>
      <c r="J5" s="447">
        <f>tertiair!J16</f>
        <v>0</v>
      </c>
      <c r="K5" s="447">
        <f>tertiair!K16</f>
        <v>0</v>
      </c>
      <c r="L5" s="447">
        <f ca="1">tertiair!L16</f>
        <v>0</v>
      </c>
      <c r="M5" s="447">
        <f>tertiair!M16</f>
        <v>0</v>
      </c>
      <c r="N5" s="447">
        <f ca="1">tertiair!N16</f>
        <v>1032.2520304993006</v>
      </c>
      <c r="O5" s="447">
        <f>tertiair!O16</f>
        <v>1.5633333333333335</v>
      </c>
      <c r="P5" s="448">
        <f>tertiair!P16</f>
        <v>19.066666666666666</v>
      </c>
      <c r="Q5" s="446">
        <f t="shared" ref="Q5:Q14" ca="1" si="0">SUM(B5:P5)</f>
        <v>39126.400330336481</v>
      </c>
    </row>
    <row r="6" spans="1:17">
      <c r="A6" s="446" t="s">
        <v>187</v>
      </c>
      <c r="B6" s="447">
        <f>'openbare verlichting'!B8</f>
        <v>943.54</v>
      </c>
      <c r="C6" s="447"/>
      <c r="D6" s="447"/>
      <c r="E6" s="447"/>
      <c r="F6" s="447"/>
      <c r="G6" s="447"/>
      <c r="H6" s="447"/>
      <c r="I6" s="447"/>
      <c r="J6" s="447"/>
      <c r="K6" s="447"/>
      <c r="L6" s="447"/>
      <c r="M6" s="447"/>
      <c r="N6" s="447"/>
      <c r="O6" s="447"/>
      <c r="P6" s="448"/>
      <c r="Q6" s="446">
        <f t="shared" si="0"/>
        <v>943.54</v>
      </c>
    </row>
    <row r="7" spans="1:17">
      <c r="A7" s="446" t="s">
        <v>105</v>
      </c>
      <c r="B7" s="447">
        <f>landbouw!B8</f>
        <v>2679.2200895205133</v>
      </c>
      <c r="C7" s="447">
        <f>landbouw!C8</f>
        <v>5.1964285714285703</v>
      </c>
      <c r="D7" s="447">
        <f>landbouw!D8</f>
        <v>186.86383314339244</v>
      </c>
      <c r="E7" s="447">
        <f>landbouw!E8</f>
        <v>26.45778602459367</v>
      </c>
      <c r="F7" s="447">
        <f>landbouw!F8</f>
        <v>8938.5871348347791</v>
      </c>
      <c r="G7" s="447">
        <f>landbouw!G8</f>
        <v>0</v>
      </c>
      <c r="H7" s="447">
        <f>landbouw!H8</f>
        <v>0</v>
      </c>
      <c r="I7" s="447">
        <f>landbouw!I8</f>
        <v>0</v>
      </c>
      <c r="J7" s="447">
        <f>landbouw!J8</f>
        <v>267.30484483467359</v>
      </c>
      <c r="K7" s="447">
        <f>landbouw!K8</f>
        <v>0</v>
      </c>
      <c r="L7" s="447">
        <f>landbouw!L8</f>
        <v>0</v>
      </c>
      <c r="M7" s="447">
        <f>landbouw!M8</f>
        <v>0</v>
      </c>
      <c r="N7" s="447">
        <f>landbouw!N8</f>
        <v>0</v>
      </c>
      <c r="O7" s="447">
        <f>landbouw!O8</f>
        <v>0</v>
      </c>
      <c r="P7" s="448">
        <f>landbouw!P8</f>
        <v>0</v>
      </c>
      <c r="Q7" s="446">
        <f t="shared" si="0"/>
        <v>12103.630116929382</v>
      </c>
    </row>
    <row r="8" spans="1:17">
      <c r="A8" s="446" t="s">
        <v>640</v>
      </c>
      <c r="B8" s="447">
        <f>industrie!B18</f>
        <v>3943.0122379800964</v>
      </c>
      <c r="C8" s="447">
        <f>industrie!C18</f>
        <v>0</v>
      </c>
      <c r="D8" s="447">
        <f>industrie!D18</f>
        <v>2354.8825736701506</v>
      </c>
      <c r="E8" s="447">
        <f>industrie!E18</f>
        <v>45.889855710814871</v>
      </c>
      <c r="F8" s="447">
        <f>industrie!F18</f>
        <v>1150.3079576334237</v>
      </c>
      <c r="G8" s="447">
        <f>industrie!G18</f>
        <v>0</v>
      </c>
      <c r="H8" s="447">
        <f>industrie!H18</f>
        <v>0</v>
      </c>
      <c r="I8" s="447">
        <f>industrie!I18</f>
        <v>0</v>
      </c>
      <c r="J8" s="447">
        <f>industrie!J18</f>
        <v>11.038072623722158</v>
      </c>
      <c r="K8" s="447">
        <f>industrie!K18</f>
        <v>0</v>
      </c>
      <c r="L8" s="447">
        <f>industrie!L18</f>
        <v>0</v>
      </c>
      <c r="M8" s="447">
        <f>industrie!M18</f>
        <v>0</v>
      </c>
      <c r="N8" s="447">
        <f>industrie!N18</f>
        <v>309.53284674749949</v>
      </c>
      <c r="O8" s="447">
        <f>industrie!O18</f>
        <v>0</v>
      </c>
      <c r="P8" s="448">
        <f>industrie!P18</f>
        <v>0</v>
      </c>
      <c r="Q8" s="446">
        <f t="shared" si="0"/>
        <v>7814.6635443657069</v>
      </c>
    </row>
    <row r="9" spans="1:17" s="452" customFormat="1">
      <c r="A9" s="450" t="s">
        <v>560</v>
      </c>
      <c r="B9" s="451">
        <f>transport!B14</f>
        <v>3.4215167038775887</v>
      </c>
      <c r="C9" s="451">
        <f>transport!C14</f>
        <v>0</v>
      </c>
      <c r="D9" s="451">
        <f>transport!D14</f>
        <v>5.464318803238668</v>
      </c>
      <c r="E9" s="451">
        <f>transport!E14</f>
        <v>339.44772337081145</v>
      </c>
      <c r="F9" s="451">
        <f>transport!F14</f>
        <v>0</v>
      </c>
      <c r="G9" s="451">
        <f>transport!G14</f>
        <v>60180.928273598685</v>
      </c>
      <c r="H9" s="451">
        <f>transport!H14</f>
        <v>13603.088754889464</v>
      </c>
      <c r="I9" s="451">
        <f>transport!I14</f>
        <v>0</v>
      </c>
      <c r="J9" s="451">
        <f>transport!J14</f>
        <v>0</v>
      </c>
      <c r="K9" s="451">
        <f>transport!K14</f>
        <v>0</v>
      </c>
      <c r="L9" s="451">
        <f>transport!L14</f>
        <v>0</v>
      </c>
      <c r="M9" s="451">
        <f>transport!M14</f>
        <v>3300.8884069238579</v>
      </c>
      <c r="N9" s="451">
        <f>transport!N14</f>
        <v>0</v>
      </c>
      <c r="O9" s="451">
        <f>transport!O14</f>
        <v>0</v>
      </c>
      <c r="P9" s="451">
        <f>transport!P14</f>
        <v>0</v>
      </c>
      <c r="Q9" s="450">
        <f>SUM(B9:P9)</f>
        <v>77433.238994289932</v>
      </c>
    </row>
    <row r="10" spans="1:17">
      <c r="A10" s="446" t="s">
        <v>550</v>
      </c>
      <c r="B10" s="447">
        <f>transport!B54</f>
        <v>7.8615377330313327</v>
      </c>
      <c r="C10" s="447">
        <f>transport!C54</f>
        <v>0</v>
      </c>
      <c r="D10" s="447">
        <f>transport!D54</f>
        <v>0</v>
      </c>
      <c r="E10" s="447">
        <f>transport!E54</f>
        <v>0</v>
      </c>
      <c r="F10" s="447">
        <f>transport!F54</f>
        <v>0</v>
      </c>
      <c r="G10" s="447">
        <f>transport!G54</f>
        <v>1567.9992438188265</v>
      </c>
      <c r="H10" s="447">
        <f>transport!H54</f>
        <v>0</v>
      </c>
      <c r="I10" s="447">
        <f>transport!I54</f>
        <v>0</v>
      </c>
      <c r="J10" s="447">
        <f>transport!J54</f>
        <v>0</v>
      </c>
      <c r="K10" s="447">
        <f>transport!K54</f>
        <v>0</v>
      </c>
      <c r="L10" s="447">
        <f>transport!L54</f>
        <v>0</v>
      </c>
      <c r="M10" s="447">
        <f>transport!M54</f>
        <v>69.303896590290293</v>
      </c>
      <c r="N10" s="447">
        <f>transport!N54</f>
        <v>0</v>
      </c>
      <c r="O10" s="447">
        <f>transport!O54</f>
        <v>0</v>
      </c>
      <c r="P10" s="448">
        <f>transport!P54</f>
        <v>0</v>
      </c>
      <c r="Q10" s="446">
        <f t="shared" si="0"/>
        <v>1645.1646781421482</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1344.06191776116</v>
      </c>
      <c r="C14" s="454"/>
      <c r="D14" s="454">
        <f>'SEAP template'!E25</f>
        <v>1372.39612639355</v>
      </c>
      <c r="E14" s="454"/>
      <c r="F14" s="454"/>
      <c r="G14" s="454"/>
      <c r="H14" s="454"/>
      <c r="I14" s="454"/>
      <c r="J14" s="454"/>
      <c r="K14" s="454"/>
      <c r="L14" s="454"/>
      <c r="M14" s="454"/>
      <c r="N14" s="454"/>
      <c r="O14" s="454"/>
      <c r="P14" s="455"/>
      <c r="Q14" s="446">
        <f t="shared" si="0"/>
        <v>2716.45804415471</v>
      </c>
    </row>
    <row r="15" spans="1:17" s="459" customFormat="1">
      <c r="A15" s="456" t="s">
        <v>554</v>
      </c>
      <c r="B15" s="457">
        <f ca="1">SUM(B4:B14)</f>
        <v>57560.135047324409</v>
      </c>
      <c r="C15" s="457">
        <f t="shared" ref="C15:Q15" ca="1" si="1">SUM(C4:C14)</f>
        <v>5.1964285714285703</v>
      </c>
      <c r="D15" s="457">
        <f t="shared" ca="1" si="1"/>
        <v>71026.513960512239</v>
      </c>
      <c r="E15" s="457">
        <f t="shared" si="1"/>
        <v>2397.4972863126504</v>
      </c>
      <c r="F15" s="457">
        <f t="shared" ca="1" si="1"/>
        <v>69472.25925440235</v>
      </c>
      <c r="G15" s="457">
        <f t="shared" si="1"/>
        <v>61748.927517417513</v>
      </c>
      <c r="H15" s="457">
        <f t="shared" si="1"/>
        <v>13603.088754889464</v>
      </c>
      <c r="I15" s="457">
        <f t="shared" si="1"/>
        <v>0</v>
      </c>
      <c r="J15" s="457">
        <f t="shared" si="1"/>
        <v>1301.8332100048649</v>
      </c>
      <c r="K15" s="457">
        <f t="shared" si="1"/>
        <v>0</v>
      </c>
      <c r="L15" s="457">
        <f t="shared" ca="1" si="1"/>
        <v>0</v>
      </c>
      <c r="M15" s="457">
        <f t="shared" si="1"/>
        <v>3370.1923035141481</v>
      </c>
      <c r="N15" s="457">
        <f t="shared" ca="1" si="1"/>
        <v>11118.601660141949</v>
      </c>
      <c r="O15" s="457">
        <f t="shared" si="1"/>
        <v>89.110000000000014</v>
      </c>
      <c r="P15" s="457">
        <f t="shared" si="1"/>
        <v>591.06666666666672</v>
      </c>
      <c r="Q15" s="457">
        <f t="shared" ca="1" si="1"/>
        <v>292284.42208975763</v>
      </c>
    </row>
    <row r="17" spans="1:17">
      <c r="A17" s="460" t="s">
        <v>555</v>
      </c>
      <c r="B17" s="729">
        <f ca="1">huishoudens!B10</f>
        <v>0.20874248261505401</v>
      </c>
      <c r="C17" s="729">
        <f ca="1">huishoudens!C10</f>
        <v>0</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6892.2526505960832</v>
      </c>
      <c r="C22" s="447">
        <f t="shared" ref="C22:C32" ca="1" si="3">C4*$C$17</f>
        <v>0</v>
      </c>
      <c r="D22" s="447">
        <f t="shared" ref="D22:D32" si="4">D4*$D$17</f>
        <v>9648.7382870755137</v>
      </c>
      <c r="E22" s="447">
        <f t="shared" ref="E22:E32" si="5">E4*$E$17</f>
        <v>419.99573887098148</v>
      </c>
      <c r="F22" s="447">
        <f t="shared" ref="F22:F32" si="6">F4*$F$17</f>
        <v>15060.741579639955</v>
      </c>
      <c r="G22" s="447">
        <f t="shared" ref="G22:G32" si="7">G4*$G$17</f>
        <v>0</v>
      </c>
      <c r="H22" s="447">
        <f t="shared" ref="H22:H32" si="8">H4*$H$17</f>
        <v>0</v>
      </c>
      <c r="I22" s="447">
        <f t="shared" ref="I22:I32" si="9">I4*$I$17</f>
        <v>0</v>
      </c>
      <c r="J22" s="447">
        <f t="shared" ref="J22:J32" si="10">J4*$J$17</f>
        <v>362.31556356145001</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32384.04381974398</v>
      </c>
    </row>
    <row r="23" spans="1:17">
      <c r="A23" s="446" t="s">
        <v>149</v>
      </c>
      <c r="B23" s="447">
        <f t="shared" ca="1" si="2"/>
        <v>3260.7766660009847</v>
      </c>
      <c r="C23" s="447">
        <f t="shared" ca="1" si="3"/>
        <v>0</v>
      </c>
      <c r="D23" s="447">
        <f t="shared" ca="1" si="4"/>
        <v>3906.8569488418721</v>
      </c>
      <c r="E23" s="447">
        <f t="shared" si="5"/>
        <v>30.758597242878281</v>
      </c>
      <c r="F23" s="447">
        <f t="shared" ca="1" si="6"/>
        <v>794.61665159646111</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7993.0088636821956</v>
      </c>
    </row>
    <row r="24" spans="1:17">
      <c r="A24" s="446" t="s">
        <v>187</v>
      </c>
      <c r="B24" s="447">
        <f t="shared" ca="1" si="2"/>
        <v>196.95688204660806</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196.95688204660806</v>
      </c>
    </row>
    <row r="25" spans="1:17">
      <c r="A25" s="446" t="s">
        <v>105</v>
      </c>
      <c r="B25" s="447">
        <f t="shared" ca="1" si="2"/>
        <v>559.26705295863917</v>
      </c>
      <c r="C25" s="447">
        <f t="shared" ca="1" si="3"/>
        <v>0</v>
      </c>
      <c r="D25" s="447">
        <f t="shared" si="4"/>
        <v>37.746494294965274</v>
      </c>
      <c r="E25" s="447">
        <f t="shared" si="5"/>
        <v>6.0059174275827631</v>
      </c>
      <c r="F25" s="447">
        <f t="shared" si="6"/>
        <v>2386.6027650008859</v>
      </c>
      <c r="G25" s="447">
        <f t="shared" si="7"/>
        <v>0</v>
      </c>
      <c r="H25" s="447">
        <f t="shared" si="8"/>
        <v>0</v>
      </c>
      <c r="I25" s="447">
        <f t="shared" si="9"/>
        <v>0</v>
      </c>
      <c r="J25" s="447">
        <f t="shared" si="10"/>
        <v>94.625915071474452</v>
      </c>
      <c r="K25" s="447">
        <f t="shared" si="11"/>
        <v>0</v>
      </c>
      <c r="L25" s="447">
        <f t="shared" si="12"/>
        <v>0</v>
      </c>
      <c r="M25" s="447">
        <f t="shared" si="13"/>
        <v>0</v>
      </c>
      <c r="N25" s="447">
        <f t="shared" si="14"/>
        <v>0</v>
      </c>
      <c r="O25" s="447">
        <f t="shared" si="15"/>
        <v>0</v>
      </c>
      <c r="P25" s="448">
        <f t="shared" si="16"/>
        <v>0</v>
      </c>
      <c r="Q25" s="446">
        <f t="shared" ca="1" si="17"/>
        <v>3084.2481447535479</v>
      </c>
    </row>
    <row r="26" spans="1:17">
      <c r="A26" s="446" t="s">
        <v>640</v>
      </c>
      <c r="B26" s="447">
        <f t="shared" ca="1" si="2"/>
        <v>823.07416353750546</v>
      </c>
      <c r="C26" s="447">
        <f t="shared" ca="1" si="3"/>
        <v>0</v>
      </c>
      <c r="D26" s="447">
        <f t="shared" si="4"/>
        <v>475.68627988137047</v>
      </c>
      <c r="E26" s="447">
        <f t="shared" si="5"/>
        <v>10.416997246354976</v>
      </c>
      <c r="F26" s="447">
        <f t="shared" si="6"/>
        <v>307.13222468812415</v>
      </c>
      <c r="G26" s="447">
        <f t="shared" si="7"/>
        <v>0</v>
      </c>
      <c r="H26" s="447">
        <f t="shared" si="8"/>
        <v>0</v>
      </c>
      <c r="I26" s="447">
        <f t="shared" si="9"/>
        <v>0</v>
      </c>
      <c r="J26" s="447">
        <f t="shared" si="10"/>
        <v>3.9074777087976438</v>
      </c>
      <c r="K26" s="447">
        <f t="shared" si="11"/>
        <v>0</v>
      </c>
      <c r="L26" s="447">
        <f t="shared" si="12"/>
        <v>0</v>
      </c>
      <c r="M26" s="447">
        <f t="shared" si="13"/>
        <v>0</v>
      </c>
      <c r="N26" s="447">
        <f t="shared" si="14"/>
        <v>0</v>
      </c>
      <c r="O26" s="447">
        <f t="shared" si="15"/>
        <v>0</v>
      </c>
      <c r="P26" s="448">
        <f t="shared" si="16"/>
        <v>0</v>
      </c>
      <c r="Q26" s="446">
        <f t="shared" ca="1" si="17"/>
        <v>1620.2171430621524</v>
      </c>
    </row>
    <row r="27" spans="1:17" s="452" customFormat="1">
      <c r="A27" s="450" t="s">
        <v>560</v>
      </c>
      <c r="B27" s="723">
        <f t="shared" ca="1" si="2"/>
        <v>0.71421589107628447</v>
      </c>
      <c r="C27" s="451">
        <f t="shared" ca="1" si="3"/>
        <v>0</v>
      </c>
      <c r="D27" s="451">
        <f t="shared" si="4"/>
        <v>1.103792398254211</v>
      </c>
      <c r="E27" s="451">
        <f t="shared" si="5"/>
        <v>77.054633205174198</v>
      </c>
      <c r="F27" s="451">
        <f t="shared" si="6"/>
        <v>0</v>
      </c>
      <c r="G27" s="451">
        <f t="shared" si="7"/>
        <v>16068.307849050851</v>
      </c>
      <c r="H27" s="451">
        <f t="shared" si="8"/>
        <v>3387.1690999674765</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19534.349590512833</v>
      </c>
    </row>
    <row r="28" spans="1:17">
      <c r="A28" s="446" t="s">
        <v>550</v>
      </c>
      <c r="B28" s="447">
        <f t="shared" ca="1" si="2"/>
        <v>1.6410369035648842</v>
      </c>
      <c r="C28" s="447">
        <f t="shared" ca="1" si="3"/>
        <v>0</v>
      </c>
      <c r="D28" s="447">
        <f t="shared" si="4"/>
        <v>0</v>
      </c>
      <c r="E28" s="447">
        <f t="shared" si="5"/>
        <v>0</v>
      </c>
      <c r="F28" s="447">
        <f t="shared" si="6"/>
        <v>0</v>
      </c>
      <c r="G28" s="447">
        <f t="shared" si="7"/>
        <v>418.65579809962668</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420.29683500319157</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280.56282150181511</v>
      </c>
      <c r="C32" s="447">
        <f t="shared" ca="1" si="3"/>
        <v>0</v>
      </c>
      <c r="D32" s="447">
        <f t="shared" si="4"/>
        <v>277.22401753149711</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557.78683903331216</v>
      </c>
    </row>
    <row r="33" spans="1:17" s="459" customFormat="1">
      <c r="A33" s="456" t="s">
        <v>554</v>
      </c>
      <c r="B33" s="457">
        <f ca="1">SUM(B22:B32)</f>
        <v>12015.245489436278</v>
      </c>
      <c r="C33" s="457">
        <f t="shared" ref="C33:Q33" ca="1" si="18">SUM(C22:C32)</f>
        <v>0</v>
      </c>
      <c r="D33" s="457">
        <f t="shared" ca="1" si="18"/>
        <v>14347.355820023473</v>
      </c>
      <c r="E33" s="457">
        <f t="shared" si="18"/>
        <v>544.23188399297169</v>
      </c>
      <c r="F33" s="457">
        <f t="shared" ca="1" si="18"/>
        <v>18549.093220925428</v>
      </c>
      <c r="G33" s="457">
        <f t="shared" si="18"/>
        <v>16486.963647150478</v>
      </c>
      <c r="H33" s="457">
        <f t="shared" si="18"/>
        <v>3387.1690999674765</v>
      </c>
      <c r="I33" s="457">
        <f t="shared" si="18"/>
        <v>0</v>
      </c>
      <c r="J33" s="457">
        <f t="shared" si="18"/>
        <v>460.84895634172216</v>
      </c>
      <c r="K33" s="457">
        <f t="shared" si="18"/>
        <v>0</v>
      </c>
      <c r="L33" s="457">
        <f t="shared" ca="1" si="18"/>
        <v>0</v>
      </c>
      <c r="M33" s="457">
        <f t="shared" si="18"/>
        <v>0</v>
      </c>
      <c r="N33" s="457">
        <f t="shared" ca="1" si="18"/>
        <v>0</v>
      </c>
      <c r="O33" s="457">
        <f t="shared" si="18"/>
        <v>0</v>
      </c>
      <c r="P33" s="457">
        <f t="shared" si="18"/>
        <v>0</v>
      </c>
      <c r="Q33" s="457">
        <f t="shared" ca="1" si="18"/>
        <v>65790.908117837826</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3188.8708982914886</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3.6374999999999993</v>
      </c>
      <c r="C8" s="977">
        <f>'SEAP template'!C76</f>
        <v>0</v>
      </c>
      <c r="D8" s="977">
        <f>'SEAP template'!D76</f>
        <v>0</v>
      </c>
      <c r="E8" s="977">
        <f>'SEAP template'!E76</f>
        <v>0</v>
      </c>
      <c r="F8" s="977">
        <f>'SEAP template'!F76</f>
        <v>0</v>
      </c>
      <c r="G8" s="977">
        <f>'SEAP template'!G76</f>
        <v>0</v>
      </c>
      <c r="H8" s="977">
        <f>'SEAP template'!H76</f>
        <v>0</v>
      </c>
      <c r="I8" s="977">
        <f>'SEAP template'!I76</f>
        <v>0</v>
      </c>
      <c r="J8" s="977">
        <f>'SEAP template'!J76</f>
        <v>4.2794117647058822</v>
      </c>
      <c r="K8" s="977">
        <f>'SEAP template'!K76</f>
        <v>0</v>
      </c>
      <c r="L8" s="977">
        <f>'SEAP template'!L76</f>
        <v>0</v>
      </c>
      <c r="M8" s="977">
        <f>'SEAP template'!M76</f>
        <v>0</v>
      </c>
      <c r="N8" s="977">
        <f>'SEAP template'!N76</f>
        <v>0</v>
      </c>
      <c r="O8" s="977">
        <f>'SEAP template'!O76</f>
        <v>0</v>
      </c>
      <c r="P8" s="978">
        <f>'SEAP template'!Q76</f>
        <v>0</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3192.5083982914884</v>
      </c>
      <c r="C10" s="981">
        <f>SUM(C4:C9)</f>
        <v>0</v>
      </c>
      <c r="D10" s="981">
        <f t="shared" ref="D10:H10" si="0">SUM(D8:D9)</f>
        <v>0</v>
      </c>
      <c r="E10" s="981">
        <f t="shared" si="0"/>
        <v>0</v>
      </c>
      <c r="F10" s="981">
        <f t="shared" si="0"/>
        <v>0</v>
      </c>
      <c r="G10" s="981">
        <f t="shared" si="0"/>
        <v>0</v>
      </c>
      <c r="H10" s="981">
        <f t="shared" si="0"/>
        <v>0</v>
      </c>
      <c r="I10" s="981">
        <f>SUM(I8:I9)</f>
        <v>0</v>
      </c>
      <c r="J10" s="981">
        <f>SUM(J8:J9)</f>
        <v>4.2794117647058822</v>
      </c>
      <c r="K10" s="981">
        <f t="shared" ref="K10:L10" si="1">SUM(K8:K9)</f>
        <v>0</v>
      </c>
      <c r="L10" s="981">
        <f t="shared" si="1"/>
        <v>0</v>
      </c>
      <c r="M10" s="981">
        <f>SUM(M8:M9)</f>
        <v>0</v>
      </c>
      <c r="N10" s="981">
        <f>SUM(N8:N9)</f>
        <v>0</v>
      </c>
      <c r="O10" s="981">
        <f>SUM(O8:O9)</f>
        <v>0</v>
      </c>
      <c r="P10" s="981">
        <f>SUM(P8:P9)</f>
        <v>0</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0.20874248261505401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5.1964285714285703</v>
      </c>
      <c r="C17" s="984">
        <f>'SEAP template'!C87</f>
        <v>0</v>
      </c>
      <c r="D17" s="978">
        <f>'SEAP template'!D87</f>
        <v>0</v>
      </c>
      <c r="E17" s="978">
        <f>'SEAP template'!E87</f>
        <v>0</v>
      </c>
      <c r="F17" s="978">
        <f>'SEAP template'!F87</f>
        <v>0</v>
      </c>
      <c r="G17" s="978">
        <f>'SEAP template'!G87</f>
        <v>0</v>
      </c>
      <c r="H17" s="978">
        <f>'SEAP template'!H87</f>
        <v>0</v>
      </c>
      <c r="I17" s="978">
        <f>'SEAP template'!I87</f>
        <v>0</v>
      </c>
      <c r="J17" s="978">
        <f>'SEAP template'!J87</f>
        <v>6.1134453781512601</v>
      </c>
      <c r="K17" s="978">
        <f>'SEAP template'!K87</f>
        <v>0</v>
      </c>
      <c r="L17" s="978">
        <f>'SEAP template'!L87</f>
        <v>0</v>
      </c>
      <c r="M17" s="978">
        <f>'SEAP template'!M87</f>
        <v>0</v>
      </c>
      <c r="N17" s="978">
        <f>'SEAP template'!N87</f>
        <v>0</v>
      </c>
      <c r="O17" s="978">
        <f>'SEAP template'!O87</f>
        <v>0</v>
      </c>
      <c r="P17" s="978">
        <f>'SEAP template'!Q87</f>
        <v>0</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5.1964285714285703</v>
      </c>
      <c r="C20" s="981">
        <f>SUM(C17:C19)</f>
        <v>0</v>
      </c>
      <c r="D20" s="981">
        <f t="shared" ref="D20:H20" si="2">SUM(D17:D19)</f>
        <v>0</v>
      </c>
      <c r="E20" s="981">
        <f t="shared" si="2"/>
        <v>0</v>
      </c>
      <c r="F20" s="981">
        <f t="shared" si="2"/>
        <v>0</v>
      </c>
      <c r="G20" s="981">
        <f t="shared" si="2"/>
        <v>0</v>
      </c>
      <c r="H20" s="981">
        <f t="shared" si="2"/>
        <v>0</v>
      </c>
      <c r="I20" s="981">
        <f>SUM(I17:I19)</f>
        <v>0</v>
      </c>
      <c r="J20" s="981">
        <f>SUM(J17:J19)</f>
        <v>6.1134453781512601</v>
      </c>
      <c r="K20" s="981">
        <f t="shared" ref="K20:L20" si="3">SUM(K17:K19)</f>
        <v>0</v>
      </c>
      <c r="L20" s="981">
        <f t="shared" si="3"/>
        <v>0</v>
      </c>
      <c r="M20" s="981">
        <f>SUM(M17:M19)</f>
        <v>0</v>
      </c>
      <c r="N20" s="981">
        <f>SUM(N17:N19)</f>
        <v>0</v>
      </c>
      <c r="O20" s="981">
        <f>SUM(O17:O19)</f>
        <v>0</v>
      </c>
      <c r="P20" s="981">
        <f>SUM(P17:P19)</f>
        <v>0</v>
      </c>
    </row>
    <row r="22" spans="1:16">
      <c r="A22" s="460" t="s">
        <v>867</v>
      </c>
      <c r="B22" s="729" t="s">
        <v>861</v>
      </c>
      <c r="C22" s="729">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0.20874248261505401</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2022-07-26T12:23:11Z</dcterms:modified>
</cp:coreProperties>
</file>