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44C81598-7FAF-4923-B8C1-56D6E3DD5A95}"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<sst xmlns="http://schemas.openxmlformats.org/spreadsheetml/2006/main" count="2497" uniqueCount="945">
  <si>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</si>
  <si>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</si>
  <si>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</si>
  <si>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</si>
  <si>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</si>
  <si>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</si>
  <si>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</si>
  <si>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</si>
  <si>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</si>
  <si>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</si>
  <si>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</si>
  <si>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</si>
  <si>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</si>
  <si>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</si>
  <si>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</si>
  <si>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</si>
  <si>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</si>
  <si>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</si>
  <si>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</si>
  <si>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</si>
  <si>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</si>
  <si>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</si>
  <si>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</si>
  <si>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</si>
  <si>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</si>
  <si>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</si>
  <si>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</si>
  <si>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</si>
  <si>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</si>
  <si>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</si>
  <si>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</si>
  <si>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</si>
  <si>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</si>
  <si>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</si>
  <si>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</si>
  <si>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</si>
  <si>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</si>
  <si>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</si>
  <si>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</si>
  <si>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</si>
  <si>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</si>
  <si>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</si>
  <si>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</si>
  <si>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</si>
  <si>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</si>
  <si>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</si>
  <si>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</si>
  <si>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</si>
  <si>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</si>
  <si>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</si>
  <si>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</si>
  <si>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</si>
  <si>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</si>
  <si>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</si>
  <si>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</si>
  <si>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</si>
  <si>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</si>
  <si>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</si>
  <si>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</si>
  <si>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</si>
  <si>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</si>
  <si>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</si>
  <si>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</si>
  <si>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</si>
  <si>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</si>
  <si>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</si>
  <si>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</si>
  <si>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</si>
  <si>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</si>
  <si>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</si>
  <si>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</si>
  <si>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</si>
  <si>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</si>
  <si>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</si>
  <si>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</si>
  <si>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</si>
  <si>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</si>
  <si>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</si>
  <si>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</si>
  <si>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</si>
  <si>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</si>
  <si>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</si>
  <si>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</si>
  <si>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</si>
  <si>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</si>
  <si>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</si>
  <si>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</si>
  <si>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</si>
  <si>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</si>
  <si>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</si>
  <si>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</si>
  <si>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</si>
  <si>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</si>
  <si>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</si>
  <si>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</si>
  <si>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</si>
  <si>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</si>
  <si>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</si>
  <si>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</si>
  <si>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</si>
  <si>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</si>
  <si>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</si>
  <si>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</si>
  <si>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</si>
  <si>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</si>
  <si>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</si>
  <si>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</si>
  <si>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</si>
  <si>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</si>
  <si>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</si>
  <si>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</si>
  <si>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</si>
  <si>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</si>
  <si>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</si>
  <si>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</si>
  <si>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</si>
  <si>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</si>
  <si>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</si>
  <si>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</si>
  <si>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</si>
  <si>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</si>
  <si>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</si>
  <si>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</si>
  <si>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</si>
  <si>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</si>
  <si>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</si>
  <si>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</si>
  <si>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</si>
  <si>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</si>
  <si>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</si>
  <si>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</si>
  <si>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</si>
  <si>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</si>
  <si>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</si>
  <si>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</si>
  <si>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</si>
  <si>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</si>
  <si>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</si>
  <si>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</si>
  <si>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</si>
  <si>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</si>
  <si>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</si>
  <si>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</si>
  <si>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</si>
  <si>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</si>
  <si>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</si>
  <si>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</si>
  <si>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</si>
  <si>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</si>
  <si>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</si>
  <si>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</si>
  <si>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</si>
  <si>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</si>
  <si>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</si>
  <si>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</si>
  <si>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</si>
  <si>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</si>
  <si>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</si>
  <si>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</si>
  <si>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</si>
  <si>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</si>
  <si>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</si>
  <si>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</si>
  <si>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</si>
  <si>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</si>
  <si>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</si>
  <si>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</si>
  <si>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</si>
  <si>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</si>
  <si>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</si>
  <si>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</si>
  <si>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</si>
  <si>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</si>
  <si>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</si>
  <si>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</si>
  <si>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</si>
  <si>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</si>
  <si>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</si>
  <si>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</si>
  <si>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</si>
  <si>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</si>
  <si>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</si>
  <si>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</si>
  <si>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</si>
  <si>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</si>
  <si>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</si>
  <si>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</si>
  <si>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</si>
  <si>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</si>
  <si>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</si>
  <si>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</si>
  <si>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</si>
  <si>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</si>
  <si>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</si>
  <si>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</si>
  <si>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</si>
  <si>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</si>
  <si>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</si>
  <si>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</si>
  <si>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</si>
  <si>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</si>
  <si>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</si>
  <si>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</si>
  <si>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</si>
  <si>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</si>
  <si>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</si>
  <si>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</si>
  <si>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</si>
  <si>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</si>
  <si>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</si>
  <si>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</si>
  <si>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</si>
  <si>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</si>
  <si>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</si>
  <si>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</si>
  <si>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</si>
  <si>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</si>
  <si>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</si>
  <si>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</si>
  <si>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</si>
  <si>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</si>
  <si>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</si>
  <si>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</si>
  <si>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</si>
  <si>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</si>
  <si>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</si>
  <si>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</si>
  <si>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</si>
  <si>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</si>
  <si>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</si>
  <si>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</si>
  <si>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</si>
  <si>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</si>
  <si>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</si>
  <si>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</si>
  <si>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</si>
  <si>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</si>
  <si>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</si>
  <si>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</si>
  <si>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</si>
  <si>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</si>
  <si>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</si>
  <si>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</si>
  <si>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</si>
  <si>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</si>
  <si>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</si>
  <si>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</si>
  <si>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</si>
  <si>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</si>
  <si>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</si>
  <si>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</si>
  <si>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</si>
  <si>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</si>
  <si>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</si>
  <si>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</si>
  <si>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</si>
  <si>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</si>
  <si>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</si>
  <si>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</si>
  <si>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</si>
  <si>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</si>
  <si>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</si>
  <si>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</si>
  <si>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</si>
  <si>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</si>
  <si>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</si>
  <si>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</si>
  <si>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</si>
  <si>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</si>
  <si>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</si>
  <si>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</si>
  <si>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</si>
  <si>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</si>
  <si>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</si>
  <si>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</si>
  <si>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</si>
  <si>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</si>
  <si>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</si>
  <si>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</si>
  <si>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</si>
  <si>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</si>
  <si>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</si>
  <si>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</si>
  <si>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</si>
  <si>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</si>
  <si>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</si>
  <si>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</si>
  <si>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</si>
  <si>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</si>
  <si>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</si>
  <si>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</si>
  <si>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</si>
  <si>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</si>
  <si>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</si>
  <si>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</si>
  <si>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</si>
  <si>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</si>
  <si>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</si>
  <si>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</si>
  <si>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</si>
  <si>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</si>
  <si>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</si>
  <si>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</si>
  <si>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</si>
  <si>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</si>
  <si>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</si>
  <si>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</si>
  <si>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</si>
  <si>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</si>
  <si>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</si>
  <si>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</si>
  <si>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</si>
  <si>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</si>
  <si>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</si>
  <si>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</si>
  <si>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</si>
  <si>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</si>
  <si>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</si>
  <si>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</si>
  <si>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</si>
  <si>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</si>
  <si>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</si>
  <si>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</si>
  <si>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</si>
  <si>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</si>
  <si>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</si>
  <si>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</si>
  <si>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</si>
  <si>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</si>
  <si>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</si>
  <si>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</si>
  <si>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</si>
  <si>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</si>
  <si>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</si>
  <si>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</si>
  <si>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</si>
  <si>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</si>
  <si>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</si>
  <si>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</si>
  <si>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</si>
  <si>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</si>
  <si>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</si>
  <si>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</si>
  <si>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</si>
  <si>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</si>
  <si>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</si>
  <si>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</si>
  <si>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</si>
  <si>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</si>
  <si>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</si>
  <si>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</si>
  <si>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</si>
  <si>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</si>
  <si>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</si>
  <si>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</si>
  <si>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</si>
  <si>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</si>
  <si>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</si>
  <si>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</si>
  <si>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</si>
  <si>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</si>
  <si>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</si>
  <si>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</si>
  <si>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</si>
  <si>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</si>
  <si>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</si>
  <si>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</si>
  <si>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</si>
  <si>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</si>
  <si>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</si>
  <si>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</si>
  <si>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</si>
  <si>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</si>
  <si>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</si>
  <si>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</si>
  <si>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</si>
  <si>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</si>
  <si>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</si>
  <si>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</si>
  <si>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</si>
  <si>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</si>
  <si>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</si>
  <si>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</si>
  <si>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</si>
  <si>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</si>
  <si>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</si>
  <si>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</si>
  <si>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</si>
  <si>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</si>
  <si>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</si>
  <si>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</si>
  <si>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</si>
  <si>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</si>
  <si>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</si>
  <si>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</si>
  <si>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</si>
  <si>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</si>
  <si>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</si>
  <si>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</si>
  <si>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</si>
  <si>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</si>
  <si>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</si>
  <si>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</si>
  <si>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</si>
  <si>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</si>
  <si>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</si>
  <si>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</si>
  <si>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</si>
  <si>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</si>
  <si>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</si>
  <si>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</si>
  <si>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</si>
  <si>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</si>
  <si>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</si>
  <si>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</si>
  <si>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</si>
  <si>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</si>
  <si>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</si>
  <si>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</si>
  <si>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</si>
  <si>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</si>
  <si>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</si>
  <si>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</si>
  <si>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</si>
  <si>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</si>
  <si>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</si>
  <si>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</si>
  <si>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</si>
  <si>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</si>
  <si>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</si>
  <si>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</si>
  <si>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</si>
  <si>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</si>
  <si>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</si>
  <si>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</si>
  <si>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</si>
  <si>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</si>
  <si>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</si>
  <si>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</si>
  <si>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</si>
  <si>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</si>
  <si>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</si>
  <si>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</si>
  <si>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</si>
  <si>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</si>
  <si>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</si>
  <si>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</si>
  <si>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</si>
  <si>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</si>
  <si>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</si>
  <si>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</si>
  <si>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</si>
  <si>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</si>
  <si>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</si>
  <si>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</si>
  <si>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</si>
  <si>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</si>
  <si>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</si>
  <si>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</si>
  <si>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</si>
  <si>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</si>
  <si>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</si>
  <si>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</si>
  <si>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</si>
  <si>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</si>
  <si>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</si>
  <si>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</si>
  <si>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</si>
  <si>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</si>
  <si>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</si>
  <si>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</si>
  <si>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</si>
  <si>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</si>
  <si>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</si>
  <si>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</si>
  <si>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</si>
  <si>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</si>
  <si>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</si>
  <si>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</si>
  <si>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</si>
  <si>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</si>
  <si>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</si>
  <si>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</si>
  <si>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</si>
  <si>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</si>
  <si>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</si>
  <si>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</si>
  <si>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</si>
  <si>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</si>
  <si>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</si>
  <si>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</si>
  <si>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</si>
  <si>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</si>
  <si>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</si>
  <si>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</si>
  <si>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</si>
  <si>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</si>
  <si>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</si>
  <si>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</si>
  <si>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</si>
  <si>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</si>
  <si>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</si>
  <si>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</si>
  <si>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</si>
  <si>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</si>
  <si>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</si>
  <si>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</si>
  <si>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</si>
  <si>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</si>
  <si>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</si>
  <si>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</si>
  <si>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</si>
  <si>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</si>
  <si>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</si>
  <si>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</si>
  <si>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</si>
  <si>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</si>
  <si>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</si>
  <si>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</si>
  <si>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</si>
  <si>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</si>
  <si>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</si>
  <si>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</si>
  <si>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</si>
  <si>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</si>
  <si>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</si>
  <si>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</si>
  <si>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</si>
  <si>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</si>
  <si>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</si>
  <si>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</si>
  <si>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</si>
  <si>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</si>
  <si>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</si>
  <si>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</si>
  <si>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</si>
  <si>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</si>
  <si>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</si>
  <si>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</si>
  <si>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</si>
  <si>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</si>
  <si>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</si>
  <si>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</si>
  <si>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</si>
  <si>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</si>
  <si>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</si>
  <si>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</si>
  <si>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</si>
  <si>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</si>
  <si>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</si>
  <si>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</si>
  <si>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</si>
  <si>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</si>
  <si>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</si>
  <si>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</si>
  <si>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</si>
  <si>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</si>
  <si>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</si>
  <si>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</si>
  <si>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</si>
  <si>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</si>
  <si>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</si>
  <si>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</si>
  <si>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</si>
  <si>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</si>
  <si>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</si>
  <si>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</si>
  <si>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</si>
  <si>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</si>
  <si>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</si>
  <si>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</si>
  <si>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</si>
  <si>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</si>
  <si>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</si>
  <si>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</si>
  <si>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</si>
  <si>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</si>
  <si>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</si>
  <si>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</si>
  <si>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</si>
  <si>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</si>
  <si>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</si>
  <si>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</si>
  <si>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</si>
  <si>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</si>
  <si>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</si>
  <si>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</si>
  <si>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</si>
  <si>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</si>
  <si>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</si>
  <si>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</si>
  <si>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</si>
  <si>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</si>
  <si>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</si>
  <si>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</si>
  <si>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</si>
  <si>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</si>
  <si>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</si>
  <si>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</si>
  <si>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</si>
  <si>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</si>
  <si>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</si>
  <si>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</si>
  <si>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</si>
  <si>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</si>
  <si>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</si>
  <si>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</si>
  <si>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</si>
  <si>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</si>
  <si>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</si>
  <si>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</si>
  <si>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</si>
  <si>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</si>
  <si>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</si>
  <si>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</si>
  <si>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</si>
  <si>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</si>
  <si>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</si>
  <si>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</si>
  <si>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</si>
  <si>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</si>
  <si>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</si>
  <si>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</si>
  <si>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</si>
  <si>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</si>
  <si>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</si>
  <si>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</si>
  <si>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</si>
  <si>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</si>
  <si>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</si>
  <si>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</si>
  <si>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</si>
  <si>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</si>
  <si>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</si>
  <si>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</si>
  <si>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</si>
  <si>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</si>
  <si>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</si>
  <si>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</si>
  <si>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</si>
  <si>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</si>
  <si>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</si>
  <si>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</si>
  <si>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</si>
  <si>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</si>
  <si>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</si>
  <si>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</si>
  <si>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</si>
  <si>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</si>
  <si>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</si>
  <si>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</si>
  <si>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</si>
  <si>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</si>
  <si>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</si>
  <si>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</si>
  <si>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</si>
  <si>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</si>
  <si>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</si>
  <si>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</si>
  <si>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</si>
  <si>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</si>
  <si>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</si>
  <si>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</si>
  <si>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</si>
  <si>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</si>
  <si>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</si>
  <si>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</si>
  <si>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</si>
  <si>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</si>
  <si>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</si>
  <si>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</si>
  <si>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</si>
  <si>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</si>
  <si>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</si>
  <si>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</si>
  <si>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</si>
  <si>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</si>
  <si>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</si>
  <si>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</si>
  <si>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</si>
  <si>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</si>
  <si>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</si>
  <si>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</si>
  <si>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</si>
  <si>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</si>
  <si>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</si>
  <si>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</si>
  <si>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</si>
  <si>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</si>
  <si>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</si>
  <si>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</si>
  <si>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</si>
  <si>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</si>
  <si>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</si>
  <si>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</si>
  <si>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</si>
  <si>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</si>
  <si>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</si>
  <si>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</si>
  <si>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</si>
  <si>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</si>
  <si>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</si>
  <si>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</si>
  <si>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</si>
  <si>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</si>
  <si>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</si>
  <si>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</si>
  <si>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</si>
  <si>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</si>
  <si>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</si>
  <si>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</si>
  <si>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</si>
  <si>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</si>
  <si>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</si>
  <si>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</si>
  <si>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</si>
  <si>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</si>
  <si>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</si>
  <si>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</si>
  <si>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</si>
  <si>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</si>
  <si>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</si>
  <si>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</si>
  <si>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</si>
  <si>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</si>
  <si>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</si>
  <si>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</si>
  <si>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</si>
  <si>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</si>
  <si>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</si>
  <si>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</si>
  <si>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</si>
  <si>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</si>
  <si>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</si>
  <si>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</si>
  <si>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</si>
  <si>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</si>
  <si>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</si>
  <si>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</si>
  <si>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</si>
  <si>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</si>
  <si>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</si>
  <si>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</si>
  <si>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</si>
  <si>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</si>
  <si>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</si>
  <si>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</si>
  <si>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</si>
  <si>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</si>
  <si>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</si>
  <si>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</si>
  <si>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</si>
  <si>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</si>
  <si>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</si>
  <si>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</si>
  <si>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</si>
  <si>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</si>
  <si>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</si>
  <si>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</si>
  <si>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</si>
  <si>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</si>
  <si>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</si>
  <si>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</si>
  <si>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</si>
  <si>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</si>
  <si>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</si>
  <si>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</si>
  <si>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</si>
  <si>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</si>
  <si>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</si>
  <si>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</si>
  <si>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</si>
  <si>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</si>
  <si>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</si>
  <si>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</si>
  <si>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</si>
  <si>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</si>
  <si>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</si>
  <si>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</si>
  <si>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</si>
  <si>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</si>
  <si>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</si>
  <si>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</si>
  <si>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</si>
  <si>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</si>
  <si>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</si>
  <si>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</si>
  <si>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</si>
  <si>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</si>
  <si>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</si>
  <si>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</si>
  <si>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</si>
  <si>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</si>
  <si>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</si>
  <si>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</si>
  <si>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</si>
  <si>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</si>
  <si>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</si>
  <si>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</si>
  <si>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</si>
  <si>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</si>
  <si>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</si>
  <si>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</si>
  <si>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</si>
  <si>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</si>
  <si>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</si>
  <si>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</si>
  <si>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</si>
  <si>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</si>
  <si>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</si>
  <si>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</si>
  <si>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</si>
  <si>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</si>
  <si>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</si>
  <si>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</si>
  <si>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</si>
  <si>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</si>
  <si>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</si>
  <si>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</si>
  <si>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</si>
  <si>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</si>
  <si>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</si>
  <si>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</si>
  <si>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</si>
  <si>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</si>
  <si>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</si>
  <si>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</si>
  <si>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</si>
  <si>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</si>
  <si>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</si>
  <si>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</si>
  <si>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</si>
  <si>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</si>
  <si>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</si>
  <si>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</si>
  <si>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</si>
  <si>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</si>
  <si>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</si>
  <si>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</si>
  <si>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</si>
  <si>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</si>
  <si>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</si>
  <si>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</si>
  <si>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</si>
  <si>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</si>
  <si>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</si>
  <si>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</si>
  <si>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</si>
  <si>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</si>
  <si>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</si>
  <si>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</si>
  <si>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</si>
  <si>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</si>
  <si>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</si>
  <si>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</si>
  <si>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</si>
  <si>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</si>
  <si>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</si>
  <si>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</si>
  <si>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</si>
  <si>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</si>
  <si>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</si>
  <si>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</si>
  <si>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</si>
  <si>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</si>
  <si>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</si>
  <si>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</si>
  <si>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</si>
  <si>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</si>
  <si>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</si>
  <si>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</si>
  <si>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</si>
  <si>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</si>
  <si>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</si>
  <si>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</si>
  <si>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</si>
  <si>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</si>
  <si>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</si>
  <si>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</si>
  <si>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</si>
  <si>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</si>
  <si>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</si>
  <si>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</si>
  <si>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</si>
  <si>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</si>
  <si>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</si>
  <si>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</si>
  <si>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</si>
  <si>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</si>
  <si>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</si>
  <si>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</si>
  <si>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</si>
  <si>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</si>
  <si>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</si>
  <si>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</si>
  <si>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</si>
  <si>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</si>
  <si>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</si>
  <si>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</si>
  <si>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</si>
  <si>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</si>
  <si>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</si>
  <si>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</si>
  <si>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</si>
  <si>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</si>
  <si>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</si>
  <si>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</si>
  <si>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</si>
  <si>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</si>
  <si>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</si>
  <si>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</si>
  <si>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</si>
  <si>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</si>
  <si>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</si>
  <si>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</si>
  <si>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</si>
  <si>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</si>
  <si>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</si>
  <si>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</si>
  <si>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</si>
  <si>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</si>
  <si>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</si>
  <si>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</si>
  <si>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</si>
  <si>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</si>
  <si>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</si>
  <si>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</si>
  <si>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</si>
  <si>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</si>
  <si>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</si>
  <si>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</si>
  <si>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</si>
  <si>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</si>
  <si>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</si>
  <si>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</si>
  <si>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</si>
  <si>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</si>
  <si>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23027</t>
  </si>
  <si>
    <t>HALLE</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</si>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</sst>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A68FAF29-D961-452E-9F2F-830463F169BB}"/>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23027</v>
      </c>
      <c r="B6" s="384"/>
      <c r="C6" s="385"/>
    </row>
    <row r="7" spans="1:7" s="382" customFormat="1" ht="15.75" customHeight="1">
      <c r="A7" s="386" t="str">
        <f>txtMunicipality</f>
        <v>HALLE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0.20931444366862745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0.20931444366862745</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15444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1611</v>
      </c>
      <c r="C14" s="327"/>
      <c r="D14" s="327"/>
      <c r="E14" s="327"/>
      <c r="F14" s="327"/>
    </row>
    <row r="15" spans="1:6">
      <c r="A15" s="1258" t="s">
        <v>177</v>
      </c>
      <c r="B15" s="1259">
        <v>7</v>
      </c>
      <c r="C15" s="327"/>
      <c r="D15" s="327"/>
      <c r="E15" s="327"/>
      <c r="F15" s="327"/>
    </row>
    <row r="16" spans="1:6">
      <c r="A16" s="1258" t="s">
        <v>6</v>
      </c>
      <c r="B16" s="1259">
        <v>282</v>
      </c>
      <c r="C16" s="327"/>
      <c r="D16" s="327"/>
      <c r="E16" s="327"/>
      <c r="F16" s="327"/>
    </row>
    <row r="17" spans="1:6">
      <c r="A17" s="1258" t="s">
        <v>7</v>
      </c>
      <c r="B17" s="1259">
        <v>235</v>
      </c>
      <c r="C17" s="327"/>
      <c r="D17" s="327"/>
      <c r="E17" s="327"/>
      <c r="F17" s="327"/>
    </row>
    <row r="18" spans="1:6">
      <c r="A18" s="1258" t="s">
        <v>8</v>
      </c>
      <c r="B18" s="1259">
        <v>340</v>
      </c>
      <c r="C18" s="327"/>
      <c r="D18" s="327"/>
      <c r="E18" s="327"/>
      <c r="F18" s="327"/>
    </row>
    <row r="19" spans="1:6">
      <c r="A19" s="1258" t="s">
        <v>9</v>
      </c>
      <c r="B19" s="1259">
        <v>251</v>
      </c>
      <c r="C19" s="327"/>
      <c r="D19" s="327"/>
      <c r="E19" s="327"/>
      <c r="F19" s="327"/>
    </row>
    <row r="20" spans="1:6">
      <c r="A20" s="1258" t="s">
        <v>10</v>
      </c>
      <c r="B20" s="1259">
        <v>319</v>
      </c>
      <c r="C20" s="327"/>
      <c r="D20" s="327"/>
      <c r="E20" s="327"/>
      <c r="F20" s="327"/>
    </row>
    <row r="21" spans="1:6">
      <c r="A21" s="1258" t="s">
        <v>11</v>
      </c>
      <c r="B21" s="1259">
        <v>722</v>
      </c>
      <c r="C21" s="327"/>
      <c r="D21" s="327"/>
      <c r="E21" s="327"/>
      <c r="F21" s="327"/>
    </row>
    <row r="22" spans="1:6">
      <c r="A22" s="1258" t="s">
        <v>12</v>
      </c>
      <c r="B22" s="1259">
        <v>1968</v>
      </c>
      <c r="C22" s="327"/>
      <c r="D22" s="327"/>
      <c r="E22" s="327"/>
      <c r="F22" s="327"/>
    </row>
    <row r="23" spans="1:6">
      <c r="A23" s="1258" t="s">
        <v>13</v>
      </c>
      <c r="B23" s="1259">
        <v>44</v>
      </c>
      <c r="C23" s="327"/>
      <c r="D23" s="327"/>
      <c r="E23" s="327"/>
      <c r="F23" s="327"/>
    </row>
    <row r="24" spans="1:6">
      <c r="A24" s="1258" t="s">
        <v>14</v>
      </c>
      <c r="B24" s="1259">
        <v>2</v>
      </c>
      <c r="C24" s="327"/>
      <c r="D24" s="327"/>
      <c r="E24" s="327"/>
      <c r="F24" s="327"/>
    </row>
    <row r="25" spans="1:6">
      <c r="A25" s="1258" t="s">
        <v>15</v>
      </c>
      <c r="B25" s="1259">
        <v>188</v>
      </c>
      <c r="C25" s="327"/>
      <c r="D25" s="327"/>
      <c r="E25" s="327"/>
      <c r="F25" s="327"/>
    </row>
    <row r="26" spans="1:6">
      <c r="A26" s="1258" t="s">
        <v>16</v>
      </c>
      <c r="B26" s="1259">
        <v>214</v>
      </c>
      <c r="C26" s="327"/>
      <c r="D26" s="327"/>
      <c r="E26" s="327"/>
      <c r="F26" s="327"/>
    </row>
    <row r="27" spans="1:6">
      <c r="A27" s="1258" t="s">
        <v>17</v>
      </c>
      <c r="B27" s="1259">
        <v>0</v>
      </c>
      <c r="C27" s="327"/>
      <c r="D27" s="327"/>
      <c r="E27" s="327"/>
      <c r="F27" s="327"/>
    </row>
    <row r="28" spans="1:6">
      <c r="A28" s="1258" t="s">
        <v>18</v>
      </c>
      <c r="B28" s="1260">
        <v>554</v>
      </c>
      <c r="C28" s="327"/>
      <c r="D28" s="327"/>
      <c r="E28" s="327"/>
      <c r="F28" s="327"/>
    </row>
    <row r="29" spans="1:6">
      <c r="A29" s="1258" t="s">
        <v>939</v>
      </c>
      <c r="B29" s="1260">
        <v>123</v>
      </c>
      <c r="C29" s="327"/>
      <c r="D29" s="327"/>
      <c r="E29" s="327"/>
      <c r="F29" s="327"/>
    </row>
    <row r="30" spans="1:6">
      <c r="A30" s="1253" t="s">
        <v>940</v>
      </c>
      <c r="B30" s="1261">
        <v>39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6</v>
      </c>
      <c r="D36" s="1259">
        <v>2829430.2165196198</v>
      </c>
      <c r="E36" s="1259">
        <v>7</v>
      </c>
      <c r="F36" s="1259">
        <v>9660.9436156848005</v>
      </c>
    </row>
    <row r="37" spans="1:6">
      <c r="A37" s="1258" t="s">
        <v>24</v>
      </c>
      <c r="B37" s="1258" t="s">
        <v>27</v>
      </c>
      <c r="C37" s="1259">
        <v>0</v>
      </c>
      <c r="D37" s="1259">
        <v>0</v>
      </c>
      <c r="E37" s="1259">
        <v>0</v>
      </c>
      <c r="F37" s="1259">
        <v>0</v>
      </c>
    </row>
    <row r="38" spans="1:6">
      <c r="A38" s="1258" t="s">
        <v>24</v>
      </c>
      <c r="B38" s="1258" t="s">
        <v>28</v>
      </c>
      <c r="C38" s="1259">
        <v>2</v>
      </c>
      <c r="D38" s="1259">
        <v>29039.711915992099</v>
      </c>
      <c r="E38" s="1259">
        <v>4</v>
      </c>
      <c r="F38" s="1259">
        <v>18756.072643920401</v>
      </c>
    </row>
    <row r="39" spans="1:6">
      <c r="A39" s="1258" t="s">
        <v>29</v>
      </c>
      <c r="B39" s="1258" t="s">
        <v>30</v>
      </c>
      <c r="C39" s="1259">
        <v>11519</v>
      </c>
      <c r="D39" s="1259">
        <v>200909308.13046801</v>
      </c>
      <c r="E39" s="1259">
        <v>15926</v>
      </c>
      <c r="F39" s="1259">
        <v>60416047.859481402</v>
      </c>
    </row>
    <row r="40" spans="1:6">
      <c r="A40" s="1258" t="s">
        <v>29</v>
      </c>
      <c r="B40" s="1258" t="s">
        <v>28</v>
      </c>
      <c r="C40" s="1259">
        <v>0</v>
      </c>
      <c r="D40" s="1259">
        <v>0</v>
      </c>
      <c r="E40" s="1259">
        <v>0</v>
      </c>
      <c r="F40" s="1259">
        <v>0</v>
      </c>
    </row>
    <row r="41" spans="1:6">
      <c r="A41" s="1258" t="s">
        <v>31</v>
      </c>
      <c r="B41" s="1258" t="s">
        <v>32</v>
      </c>
      <c r="C41" s="1259">
        <v>59</v>
      </c>
      <c r="D41" s="1259">
        <v>1444689.3638726401</v>
      </c>
      <c r="E41" s="1259">
        <v>162</v>
      </c>
      <c r="F41" s="1259">
        <v>20848726.357189301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6</v>
      </c>
      <c r="D44" s="1259">
        <v>716277.88942061597</v>
      </c>
      <c r="E44" s="1259">
        <v>12</v>
      </c>
      <c r="F44" s="1259">
        <v>554264.190819846</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20711.506706290798</v>
      </c>
      <c r="E47" s="1259">
        <v>5</v>
      </c>
      <c r="F47" s="1259">
        <v>21687.8609365796</v>
      </c>
    </row>
    <row r="48" spans="1:6">
      <c r="A48" s="1258" t="s">
        <v>31</v>
      </c>
      <c r="B48" s="1258" t="s">
        <v>28</v>
      </c>
      <c r="C48" s="1259">
        <v>55</v>
      </c>
      <c r="D48" s="1259">
        <v>33723383.734559499</v>
      </c>
      <c r="E48" s="1259">
        <v>80</v>
      </c>
      <c r="F48" s="1259">
        <v>36410648.4611068</v>
      </c>
    </row>
    <row r="49" spans="1:6">
      <c r="A49" s="1258" t="s">
        <v>31</v>
      </c>
      <c r="B49" s="1258" t="s">
        <v>39</v>
      </c>
      <c r="C49" s="1259">
        <v>0</v>
      </c>
      <c r="D49" s="1259">
        <v>0</v>
      </c>
      <c r="E49" s="1259">
        <v>3</v>
      </c>
      <c r="F49" s="1259">
        <v>8373.4206492878002</v>
      </c>
    </row>
    <row r="50" spans="1:6">
      <c r="A50" s="1258" t="s">
        <v>31</v>
      </c>
      <c r="B50" s="1258" t="s">
        <v>40</v>
      </c>
      <c r="C50" s="1259">
        <v>7</v>
      </c>
      <c r="D50" s="1259">
        <v>475536.56333610899</v>
      </c>
      <c r="E50" s="1259">
        <v>10</v>
      </c>
      <c r="F50" s="1259">
        <v>357599.62969846599</v>
      </c>
    </row>
    <row r="51" spans="1:6">
      <c r="A51" s="1258" t="s">
        <v>41</v>
      </c>
      <c r="B51" s="1258" t="s">
        <v>42</v>
      </c>
      <c r="C51" s="1259">
        <v>4</v>
      </c>
      <c r="D51" s="1259">
        <v>60471.7997615239</v>
      </c>
      <c r="E51" s="1259">
        <v>31</v>
      </c>
      <c r="F51" s="1259">
        <v>317767.32703149499</v>
      </c>
    </row>
    <row r="52" spans="1:6">
      <c r="A52" s="1258" t="s">
        <v>41</v>
      </c>
      <c r="B52" s="1258" t="s">
        <v>28</v>
      </c>
      <c r="C52" s="1259">
        <v>5</v>
      </c>
      <c r="D52" s="1259">
        <v>2809166.5176761001</v>
      </c>
      <c r="E52" s="1259">
        <v>14</v>
      </c>
      <c r="F52" s="1259">
        <v>417190.74690909398</v>
      </c>
    </row>
    <row r="53" spans="1:6">
      <c r="A53" s="1258" t="s">
        <v>43</v>
      </c>
      <c r="B53" s="1258" t="s">
        <v>44</v>
      </c>
      <c r="C53" s="1259">
        <v>337</v>
      </c>
      <c r="D53" s="1259">
        <v>10492278.151430201</v>
      </c>
      <c r="E53" s="1259">
        <v>512</v>
      </c>
      <c r="F53" s="1259">
        <v>2473150.5599765</v>
      </c>
    </row>
    <row r="54" spans="1:6">
      <c r="A54" s="1258" t="s">
        <v>45</v>
      </c>
      <c r="B54" s="1258" t="s">
        <v>46</v>
      </c>
      <c r="C54" s="1259">
        <v>0</v>
      </c>
      <c r="D54" s="1259">
        <v>0</v>
      </c>
      <c r="E54" s="1259">
        <v>1</v>
      </c>
      <c r="F54" s="1259">
        <v>2984706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67</v>
      </c>
      <c r="D57" s="1259">
        <v>3749684.63173914</v>
      </c>
      <c r="E57" s="1259">
        <v>128</v>
      </c>
      <c r="F57" s="1259">
        <v>2296796.1631153198</v>
      </c>
    </row>
    <row r="58" spans="1:6">
      <c r="A58" s="1258" t="s">
        <v>48</v>
      </c>
      <c r="B58" s="1258" t="s">
        <v>50</v>
      </c>
      <c r="C58" s="1259">
        <v>43</v>
      </c>
      <c r="D58" s="1259">
        <v>4657790.4941772502</v>
      </c>
      <c r="E58" s="1259">
        <v>53</v>
      </c>
      <c r="F58" s="1259">
        <v>1841622.1946814</v>
      </c>
    </row>
    <row r="59" spans="1:6">
      <c r="A59" s="1258" t="s">
        <v>48</v>
      </c>
      <c r="B59" s="1258" t="s">
        <v>51</v>
      </c>
      <c r="C59" s="1259">
        <v>219</v>
      </c>
      <c r="D59" s="1259">
        <v>48392104.908264503</v>
      </c>
      <c r="E59" s="1259">
        <v>403</v>
      </c>
      <c r="F59" s="1259">
        <v>12371356.549107</v>
      </c>
    </row>
    <row r="60" spans="1:6">
      <c r="A60" s="1258" t="s">
        <v>48</v>
      </c>
      <c r="B60" s="1258" t="s">
        <v>52</v>
      </c>
      <c r="C60" s="1259">
        <v>157</v>
      </c>
      <c r="D60" s="1259">
        <v>10574434.500922499</v>
      </c>
      <c r="E60" s="1259">
        <v>268</v>
      </c>
      <c r="F60" s="1259">
        <v>5428104.3567014597</v>
      </c>
    </row>
    <row r="61" spans="1:6">
      <c r="A61" s="1258" t="s">
        <v>48</v>
      </c>
      <c r="B61" s="1258" t="s">
        <v>53</v>
      </c>
      <c r="C61" s="1259">
        <v>241</v>
      </c>
      <c r="D61" s="1259">
        <v>9032884.9318807591</v>
      </c>
      <c r="E61" s="1259">
        <v>527</v>
      </c>
      <c r="F61" s="1259">
        <v>6872820.4906905601</v>
      </c>
    </row>
    <row r="62" spans="1:6">
      <c r="A62" s="1258" t="s">
        <v>48</v>
      </c>
      <c r="B62" s="1258" t="s">
        <v>54</v>
      </c>
      <c r="C62" s="1259">
        <v>23</v>
      </c>
      <c r="D62" s="1259">
        <v>5249448.1285910001</v>
      </c>
      <c r="E62" s="1259">
        <v>27</v>
      </c>
      <c r="F62" s="1259">
        <v>2211048.0868425202</v>
      </c>
    </row>
    <row r="63" spans="1:6">
      <c r="A63" s="1258" t="s">
        <v>48</v>
      </c>
      <c r="B63" s="1258" t="s">
        <v>28</v>
      </c>
      <c r="C63" s="1259">
        <v>191</v>
      </c>
      <c r="D63" s="1259">
        <v>20593651.067532599</v>
      </c>
      <c r="E63" s="1259">
        <v>237</v>
      </c>
      <c r="F63" s="1259">
        <v>72445449.944546893</v>
      </c>
    </row>
    <row r="64" spans="1:6">
      <c r="A64" s="1258" t="s">
        <v>55</v>
      </c>
      <c r="B64" s="1258" t="s">
        <v>56</v>
      </c>
      <c r="C64" s="1259">
        <v>0</v>
      </c>
      <c r="D64" s="1259">
        <v>0</v>
      </c>
      <c r="E64" s="1259">
        <v>0</v>
      </c>
      <c r="F64" s="1259">
        <v>0</v>
      </c>
    </row>
    <row r="65" spans="1:6">
      <c r="A65" s="1258" t="s">
        <v>55</v>
      </c>
      <c r="B65" s="1258" t="s">
        <v>28</v>
      </c>
      <c r="C65" s="1259">
        <v>5</v>
      </c>
      <c r="D65" s="1259">
        <v>185868.18129534301</v>
      </c>
      <c r="E65" s="1259">
        <v>5</v>
      </c>
      <c r="F65" s="1259">
        <v>49819.653617689903</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224645.993014935</v>
      </c>
      <c r="E68" s="1261">
        <v>15</v>
      </c>
      <c r="F68" s="1261">
        <v>377690.63917404198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241783404</v>
      </c>
      <c r="E73" s="445"/>
      <c r="F73" s="327"/>
    </row>
    <row r="74" spans="1:6">
      <c r="A74" s="1258" t="s">
        <v>63</v>
      </c>
      <c r="B74" s="1258" t="s">
        <v>724</v>
      </c>
      <c r="C74" s="1271" t="s">
        <v>718</v>
      </c>
      <c r="D74" s="1259">
        <v>19753558.118236616</v>
      </c>
      <c r="E74" s="445"/>
      <c r="F74" s="327"/>
    </row>
    <row r="75" spans="1:6">
      <c r="A75" s="1258" t="s">
        <v>64</v>
      </c>
      <c r="B75" s="1258" t="s">
        <v>723</v>
      </c>
      <c r="C75" s="1271" t="s">
        <v>719</v>
      </c>
      <c r="D75" s="1259">
        <v>154492263</v>
      </c>
      <c r="E75" s="445"/>
      <c r="F75" s="327"/>
    </row>
    <row r="76" spans="1:6">
      <c r="A76" s="1258" t="s">
        <v>64</v>
      </c>
      <c r="B76" s="1258" t="s">
        <v>724</v>
      </c>
      <c r="C76" s="1271" t="s">
        <v>720</v>
      </c>
      <c r="D76" s="1259">
        <v>7656304.1182366172</v>
      </c>
      <c r="E76" s="445"/>
      <c r="F76" s="327"/>
    </row>
    <row r="77" spans="1:6">
      <c r="A77" s="1258" t="s">
        <v>65</v>
      </c>
      <c r="B77" s="1258" t="s">
        <v>723</v>
      </c>
      <c r="C77" s="1271" t="s">
        <v>721</v>
      </c>
      <c r="D77" s="1259">
        <v>226375875</v>
      </c>
      <c r="E77" s="445"/>
      <c r="F77" s="327"/>
    </row>
    <row r="78" spans="1:6">
      <c r="A78" s="1253" t="s">
        <v>65</v>
      </c>
      <c r="B78" s="1253" t="s">
        <v>724</v>
      </c>
      <c r="C78" s="1253" t="s">
        <v>722</v>
      </c>
      <c r="D78" s="1261">
        <v>20365377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1114415.7635267661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2648.7481688010957</v>
      </c>
      <c r="C90" s="327"/>
      <c r="D90" s="327"/>
      <c r="E90" s="327"/>
      <c r="F90" s="327"/>
    </row>
    <row r="91" spans="1:6">
      <c r="A91" s="1258" t="s">
        <v>67</v>
      </c>
      <c r="B91" s="1259">
        <v>2573.9805954351846</v>
      </c>
      <c r="C91" s="327"/>
      <c r="D91" s="327"/>
      <c r="E91" s="327"/>
      <c r="F91" s="327"/>
    </row>
    <row r="92" spans="1:6">
      <c r="A92" s="1253" t="s">
        <v>68</v>
      </c>
      <c r="B92" s="1254">
        <v>1896.6482759033458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8417</v>
      </c>
      <c r="C97" s="327"/>
      <c r="D97" s="327"/>
      <c r="E97" s="327"/>
      <c r="F97" s="327"/>
    </row>
    <row r="98" spans="1:6">
      <c r="A98" s="1258" t="s">
        <v>71</v>
      </c>
      <c r="B98" s="1259">
        <v>12</v>
      </c>
      <c r="C98" s="327"/>
      <c r="D98" s="327"/>
      <c r="E98" s="327"/>
      <c r="F98" s="327"/>
    </row>
    <row r="99" spans="1:6">
      <c r="A99" s="1258" t="s">
        <v>72</v>
      </c>
      <c r="B99" s="1259">
        <v>88</v>
      </c>
      <c r="C99" s="327"/>
      <c r="D99" s="327"/>
      <c r="E99" s="327"/>
      <c r="F99" s="327"/>
    </row>
    <row r="100" spans="1:6">
      <c r="A100" s="1258" t="s">
        <v>73</v>
      </c>
      <c r="B100" s="1259">
        <v>1444</v>
      </c>
      <c r="C100" s="327"/>
      <c r="D100" s="327"/>
      <c r="E100" s="327"/>
      <c r="F100" s="327"/>
    </row>
    <row r="101" spans="1:6">
      <c r="A101" s="1258" t="s">
        <v>74</v>
      </c>
      <c r="B101" s="1259">
        <v>114</v>
      </c>
      <c r="C101" s="327"/>
      <c r="D101" s="327"/>
      <c r="E101" s="327"/>
      <c r="F101" s="327"/>
    </row>
    <row r="102" spans="1:6">
      <c r="A102" s="1258" t="s">
        <v>75</v>
      </c>
      <c r="B102" s="1259">
        <v>218</v>
      </c>
      <c r="C102" s="327"/>
      <c r="D102" s="327"/>
      <c r="E102" s="327"/>
      <c r="F102" s="327"/>
    </row>
    <row r="103" spans="1:6">
      <c r="A103" s="1258" t="s">
        <v>76</v>
      </c>
      <c r="B103" s="1259">
        <v>298</v>
      </c>
      <c r="C103" s="327"/>
      <c r="D103" s="327"/>
      <c r="E103" s="327"/>
      <c r="F103" s="327"/>
    </row>
    <row r="104" spans="1:6">
      <c r="A104" s="1258" t="s">
        <v>77</v>
      </c>
      <c r="B104" s="1259">
        <v>3161</v>
      </c>
      <c r="C104" s="327"/>
      <c r="D104" s="327"/>
      <c r="E104" s="327"/>
      <c r="F104" s="327"/>
    </row>
    <row r="105" spans="1:6">
      <c r="A105" s="1253" t="s">
        <v>78</v>
      </c>
      <c r="B105" s="1261">
        <v>7</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11</v>
      </c>
      <c r="C123" s="1259">
        <v>8</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63</v>
      </c>
      <c r="C129" s="327"/>
      <c r="D129" s="327"/>
      <c r="E129" s="327"/>
      <c r="F129" s="327"/>
    </row>
    <row r="130" spans="1:6">
      <c r="A130" s="1258" t="s">
        <v>284</v>
      </c>
      <c r="B130" s="1259">
        <v>0</v>
      </c>
      <c r="C130" s="327"/>
      <c r="D130" s="327"/>
      <c r="E130" s="327"/>
      <c r="F130" s="327"/>
    </row>
    <row r="131" spans="1:6">
      <c r="A131" s="1258" t="s">
        <v>285</v>
      </c>
      <c r="B131" s="1259">
        <v>3</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230897.16478684259</v>
      </c>
      <c r="C3" s="44" t="s">
        <v>163</v>
      </c>
      <c r="D3" s="44"/>
      <c r="E3" s="157"/>
      <c r="F3" s="44"/>
      <c r="G3" s="44"/>
      <c r="H3" s="44"/>
      <c r="I3" s="44"/>
      <c r="J3" s="44"/>
      <c r="K3" s="97"/>
    </row>
    <row r="4" spans="1:11">
      <c r="A4" s="352" t="s">
        <v>164</v>
      </c>
      <c r="B4" s="50">
        <f>IF(ISERROR('SEAP template'!B78+'SEAP template'!C78),0,'SEAP template'!B78+'SEAP template'!C78)</f>
        <v>12208.877040139625</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0.20931444366862745</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7270.7142857142862</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2984.7060000000001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2984.7060000000001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0.20931444366862745</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624.74207590441438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60416.047859481405</v>
      </c>
      <c r="C5" s="18">
        <f>IF(ISERROR('Eigen informatie GS &amp; warmtenet'!B57),0,'Eigen informatie GS &amp; warmtenet'!B57)</f>
        <v>0</v>
      </c>
      <c r="D5" s="31">
        <f>(SUM(HH_hh_gas_kWh,HH_rest_gas_kWh)/1000)*0.902</f>
        <v>181220.19593368215</v>
      </c>
      <c r="E5" s="18">
        <f>B32*B41</f>
        <v>2331.6777798170042</v>
      </c>
      <c r="F5" s="18">
        <f>B36*B45</f>
        <v>71086.085956171635</v>
      </c>
      <c r="G5" s="19"/>
      <c r="H5" s="18"/>
      <c r="I5" s="18"/>
      <c r="J5" s="18">
        <f>B35*B44+C35*C44</f>
        <v>1289.8322600242304</v>
      </c>
      <c r="K5" s="18"/>
      <c r="L5" s="18"/>
      <c r="M5" s="18"/>
      <c r="N5" s="18">
        <f>B34*B43+C34*C43</f>
        <v>21392.405494348324</v>
      </c>
      <c r="O5" s="18">
        <f>B52*B53*B54</f>
        <v>110.99666666666667</v>
      </c>
      <c r="P5" s="18">
        <f>B60*B61*B62/1000-B60*B61*B62/1000/B63</f>
        <v>343.2</v>
      </c>
    </row>
    <row r="6" spans="1:16">
      <c r="A6" s="17" t="s">
        <v>597</v>
      </c>
      <c r="B6" s="731">
        <f>kWh_PV_kleiner_dan_10kW</f>
        <v>2573.9805954351846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62990.028454916588</v>
      </c>
      <c r="C8" s="22">
        <f>C5</f>
        <v>0</v>
      </c>
      <c r="D8" s="22">
        <f>D5</f>
        <v>181220.19593368215</v>
      </c>
      <c r="E8" s="22">
        <f>E5</f>
        <v>2331.6777798170042</v>
      </c>
      <c r="F8" s="22">
        <f>F5</f>
        <v>71086.085956171635</v>
      </c>
      <c r="G8" s="22"/>
      <c r="H8" s="22"/>
      <c r="I8" s="22"/>
      <c r="J8" s="22">
        <f>J5</f>
        <v>1289.8322600242304</v>
      </c>
      <c r="K8" s="22"/>
      <c r="L8" s="22">
        <f>L5</f>
        <v>0</v>
      </c>
      <c r="M8" s="22">
        <f>M5</f>
        <v>0</v>
      </c>
      <c r="N8" s="22">
        <f>N5</f>
        <v>21392.405494348324</v>
      </c>
      <c r="O8" s="22">
        <f>O5</f>
        <v>110.99666666666667</v>
      </c>
      <c r="P8" s="22">
        <f>P5</f>
        <v>343.2</v>
      </c>
    </row>
    <row r="9" spans="1:16">
      <c r="B9" s="20"/>
      <c r="C9" s="20"/>
      <c r="D9" s="258"/>
      <c r="E9" s="20"/>
      <c r="F9" s="20"/>
      <c r="G9" s="20"/>
      <c r="H9" s="20"/>
      <c r="I9" s="20"/>
      <c r="J9" s="20"/>
      <c r="K9" s="20"/>
      <c r="L9" s="20"/>
      <c r="M9" s="20"/>
      <c r="N9" s="20"/>
      <c r="O9" s="20"/>
      <c r="P9" s="20"/>
    </row>
    <row r="10" spans="1:16">
      <c r="A10" s="25" t="s">
        <v>207</v>
      </c>
      <c r="B10" s="26">
        <f ca="1">'EF ele_warmte'!B12</f>
        <v>0.20931444366862745</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13184.722762711879</v>
      </c>
      <c r="C12" s="24">
        <f ca="1">C10*C8</f>
        <v>0</v>
      </c>
      <c r="D12" s="24">
        <f>D8*D10</f>
        <v>36606.479578603794</v>
      </c>
      <c r="E12" s="24">
        <f>E10*E8</f>
        <v>529.29085601845998</v>
      </c>
      <c r="F12" s="24">
        <f>F10*F8</f>
        <v>18979.984950297829</v>
      </c>
      <c r="G12" s="24"/>
      <c r="H12" s="24"/>
      <c r="I12" s="24"/>
      <c r="J12" s="24">
        <f>J10*J8</f>
        <v>456.60062004857753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15444</v>
      </c>
      <c r="C26" s="37"/>
      <c r="D26" s="228"/>
    </row>
    <row r="27" spans="1:5" s="16" customFormat="1">
      <c r="A27" s="230" t="s">
        <v>623</v>
      </c>
      <c r="B27" s="38">
        <f>SUM(HH_hh_gas_aantal,HH_rest_gas_aantal)</f>
        <v>11519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10943.05</v>
      </c>
      <c r="C31" s="35" t="s">
        <v>104</v>
      </c>
      <c r="D31" s="174"/>
    </row>
    <row r="32" spans="1:5">
      <c r="A32" s="171" t="s">
        <v>72</v>
      </c>
      <c r="B32" s="34">
        <f>IF((B21*($B$26-($B$27-0.05*$B$27)-$B$60))&lt;0,0,B21*($B$26-($B$27-0.05*$B$27)-$B$60))</f>
        <v>110.16997817146871</v>
      </c>
      <c r="C32" s="35" t="s">
        <v>104</v>
      </c>
      <c r="D32" s="174"/>
    </row>
    <row r="33" spans="1:6">
      <c r="A33" s="171" t="s">
        <v>73</v>
      </c>
      <c r="B33" s="34">
        <f>IF((B22*($B$26-($B$27-0.05*$B$27)-$B$60))&lt;0,0,B22*($B$26-($B$27-0.05*$B$27)-$B$60))</f>
        <v>741.5731647967782</v>
      </c>
      <c r="C33" s="35" t="s">
        <v>104</v>
      </c>
      <c r="D33" s="174"/>
    </row>
    <row r="34" spans="1:6">
      <c r="A34" s="171" t="s">
        <v>74</v>
      </c>
      <c r="B34" s="34">
        <f>IF((B24*($B$26-($B$27-0.05*$B$27)-$B$60))&lt;0,0,B24*($B$26-($B$27-0.05*$B$27)-$B$60))</f>
        <v>188.07858553845077</v>
      </c>
      <c r="C34" s="34">
        <f>B26*C24</f>
        <v>3158.3339485211518</v>
      </c>
      <c r="D34" s="233"/>
    </row>
    <row r="35" spans="1:6">
      <c r="A35" s="171" t="s">
        <v>76</v>
      </c>
      <c r="B35" s="34">
        <f>IF((B19*($B$26-($B$27-0.05*$B$27)-$B$60))&lt;0,0,B19*($B$26-($B$27-0.05*$B$27)-$B$60))</f>
        <v>69.921666187221248</v>
      </c>
      <c r="C35" s="34">
        <f>B35/2</f>
        <v>34.960833093610624</v>
      </c>
      <c r="D35" s="233"/>
    </row>
    <row r="36" spans="1:6">
      <c r="A36" s="171" t="s">
        <v>77</v>
      </c>
      <c r="B36" s="34">
        <f>IF((B18*($B$26-($B$27-0.05*$B$27)-$B$60))&lt;0,0,B18*($B$26-($B$27-0.05*$B$27)-$B$60))</f>
        <v>3373.2066053060807</v>
      </c>
      <c r="C36" s="35" t="s">
        <v>104</v>
      </c>
      <c r="D36" s="174"/>
    </row>
    <row r="37" spans="1:6">
      <c r="A37" s="171" t="s">
        <v>78</v>
      </c>
      <c r="B37" s="34">
        <f>B60</f>
        <v>18</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71</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18</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103467.19778568516</v>
      </c>
      <c r="C5" s="18">
        <f>IF(ISERROR('Eigen informatie GS &amp; warmtenet'!B58),0,'Eigen informatie GS &amp; warmtenet'!B58)</f>
        <v>0</v>
      </c>
      <c r="D5" s="31">
        <f>SUM(D6:D12)</f>
        <v>92229.498794123181</v>
      </c>
      <c r="E5" s="18">
        <f>SUM(E6:E12)</f>
        <v>1002.7382014866569</v>
      </c>
      <c r="F5" s="18">
        <f>SUM(F6:F12)</f>
        <v>20887.863593075897</v>
      </c>
      <c r="G5" s="19"/>
      <c r="H5" s="18"/>
      <c r="I5" s="18"/>
      <c r="J5" s="18">
        <f>SUM(J6:J12)</f>
        <v>0</v>
      </c>
      <c r="K5" s="18"/>
      <c r="L5" s="18"/>
      <c r="M5" s="18"/>
      <c r="N5" s="18">
        <f>SUM(N6:N12)</f>
        <v>5389.9904200206038</v>
      </c>
      <c r="O5" s="18">
        <f>B38*B39*B40</f>
        <v>0</v>
      </c>
      <c r="P5" s="18">
        <f>B46*B47*B48/1000-B46*B47*B48/1000/B49</f>
        <v>57.2</v>
      </c>
      <c r="R5" s="33"/>
    </row>
    <row r="6" spans="1:18">
      <c r="A6" s="33" t="s">
        <v>53</v>
      </c>
      <c r="B6" s="38">
        <f>B26</f>
        <v>6872.8204906905603</v>
      </c>
      <c r="C6" s="34"/>
      <c r="D6" s="38">
        <f>IF(ISERROR(TER_kantoor_gas_kWh/1000),0,TER_kantoor_gas_kWh/1000)*0.902</f>
        <v>8147.662208556445</v>
      </c>
      <c r="E6" s="34">
        <f>$C$26*'E Balans VL '!I12/100/3.6*1000000</f>
        <v>11.226958945136145</v>
      </c>
      <c r="F6" s="34">
        <f>$C$26*('E Balans VL '!L12+'E Balans VL '!N12)/100/3.6*1000000</f>
        <v>807.43290020596999</v>
      </c>
      <c r="G6" s="35"/>
      <c r="H6" s="34"/>
      <c r="I6" s="34"/>
      <c r="J6" s="34">
        <f>$C$26*('E Balans VL '!D12+'E Balans VL '!E12)/100/3.6*1000000</f>
        <v>0</v>
      </c>
      <c r="K6" s="34"/>
      <c r="L6" s="34"/>
      <c r="M6" s="34"/>
      <c r="N6" s="34">
        <f>$C$26*'E Balans VL '!Y12/100/3.6*1000000</f>
        <v>50.042923572092981</v>
      </c>
      <c r="O6" s="34"/>
      <c r="P6" s="34"/>
      <c r="R6" s="33"/>
    </row>
    <row r="7" spans="1:18">
      <c r="A7" s="33" t="s">
        <v>52</v>
      </c>
      <c r="B7" s="38">
        <f t="shared" ref="B7:B12" si="0">B27</f>
        <v>5428.1043567014594</v>
      </c>
      <c r="C7" s="34"/>
      <c r="D7" s="38">
        <f>IF(ISERROR(TER_horeca_gas_kWh/1000),0,TER_horeca_gas_kWh/1000)*0.902</f>
        <v>9538.139919832096</v>
      </c>
      <c r="E7" s="34">
        <f>$C$27*'E Balans VL '!I9/100/3.6*1000000</f>
        <v>280.83354429888266</v>
      </c>
      <c r="F7" s="34">
        <f>$C$27*('E Balans VL '!L9+'E Balans VL '!N9)/100/3.6*1000000</f>
        <v>1234.9779397772779</v>
      </c>
      <c r="G7" s="35"/>
      <c r="H7" s="34"/>
      <c r="I7" s="34"/>
      <c r="J7" s="34">
        <f>$C$27*('E Balans VL '!D9+'E Balans VL '!E9)/100/3.6*1000000</f>
        <v>0</v>
      </c>
      <c r="K7" s="34"/>
      <c r="L7" s="34"/>
      <c r="M7" s="34"/>
      <c r="N7" s="34">
        <f>$C$27*'E Balans VL '!Y9/100/3.6*1000000</f>
        <v>0.5714845156205578</v>
      </c>
      <c r="O7" s="34"/>
      <c r="P7" s="34"/>
      <c r="R7" s="33"/>
    </row>
    <row r="8" spans="1:18">
      <c r="A8" s="6" t="s">
        <v>51</v>
      </c>
      <c r="B8" s="38">
        <f t="shared" si="0"/>
        <v>12371.356549107</v>
      </c>
      <c r="C8" s="34"/>
      <c r="D8" s="38">
        <f>IF(ISERROR(TER_handel_gas_kWh/1000),0,TER_handel_gas_kWh/1000)*0.902</f>
        <v>43649.678627254587</v>
      </c>
      <c r="E8" s="34">
        <f>$C$28*'E Balans VL '!I13/100/3.6*1000000</f>
        <v>64.983593749930876</v>
      </c>
      <c r="F8" s="34">
        <f>$C$28*('E Balans VL '!L13+'E Balans VL '!N13)/100/3.6*1000000</f>
        <v>2332.415030968702</v>
      </c>
      <c r="G8" s="35"/>
      <c r="H8" s="34"/>
      <c r="I8" s="34"/>
      <c r="J8" s="34">
        <f>$C$28*('E Balans VL '!D13+'E Balans VL '!E13)/100/3.6*1000000</f>
        <v>0</v>
      </c>
      <c r="K8" s="34"/>
      <c r="L8" s="34"/>
      <c r="M8" s="34"/>
      <c r="N8" s="34">
        <f>$C$28*'E Balans VL '!Y13/100/3.6*1000000</f>
        <v>61.33154544198392</v>
      </c>
      <c r="O8" s="34"/>
      <c r="P8" s="34"/>
      <c r="R8" s="33"/>
    </row>
    <row r="9" spans="1:18">
      <c r="A9" s="33" t="s">
        <v>50</v>
      </c>
      <c r="B9" s="38">
        <f t="shared" si="0"/>
        <v>1841.6221946814001</v>
      </c>
      <c r="C9" s="34"/>
      <c r="D9" s="38">
        <f>IF(ISERROR(TER_gezond_gas_kWh/1000),0,TER_gezond_gas_kWh/1000)*0.902</f>
        <v>4201.3270257478798</v>
      </c>
      <c r="E9" s="34">
        <f>$C$29*'E Balans VL '!I10/100/3.6*1000000</f>
        <v>1.6348881167103788</v>
      </c>
      <c r="F9" s="34">
        <f>$C$29*('E Balans VL '!L10+'E Balans VL '!N10)/100/3.6*1000000</f>
        <v>572.40418093138976</v>
      </c>
      <c r="G9" s="35"/>
      <c r="H9" s="34"/>
      <c r="I9" s="34"/>
      <c r="J9" s="34">
        <f>$C$29*('E Balans VL '!D10+'E Balans VL '!E10)/100/3.6*1000000</f>
        <v>0</v>
      </c>
      <c r="K9" s="34"/>
      <c r="L9" s="34"/>
      <c r="M9" s="34"/>
      <c r="N9" s="34">
        <f>$C$29*'E Balans VL '!Y10/100/3.6*1000000</f>
        <v>14.215466815736837</v>
      </c>
      <c r="O9" s="34"/>
      <c r="P9" s="34"/>
      <c r="R9" s="33"/>
    </row>
    <row r="10" spans="1:18">
      <c r="A10" s="33" t="s">
        <v>49</v>
      </c>
      <c r="B10" s="38">
        <f t="shared" si="0"/>
        <v>2296.7961631153198</v>
      </c>
      <c r="C10" s="34"/>
      <c r="D10" s="38">
        <f>IF(ISERROR(TER_ander_gas_kWh/1000),0,TER_ander_gas_kWh/1000)*0.902</f>
        <v>3382.2155378287043</v>
      </c>
      <c r="E10" s="34">
        <f>$C$30*'E Balans VL '!I14/100/3.6*1000000</f>
        <v>18.733668368592223</v>
      </c>
      <c r="F10" s="34">
        <f>$C$30*('E Balans VL '!L14+'E Balans VL '!N14)/100/3.6*1000000</f>
        <v>669.47343893713366</v>
      </c>
      <c r="G10" s="35"/>
      <c r="H10" s="34"/>
      <c r="I10" s="34"/>
      <c r="J10" s="34">
        <f>$C$30*('E Balans VL '!D14+'E Balans VL '!E14)/100/3.6*1000000</f>
        <v>0</v>
      </c>
      <c r="K10" s="34"/>
      <c r="L10" s="34"/>
      <c r="M10" s="34"/>
      <c r="N10" s="34">
        <f>$C$30*'E Balans VL '!Y14/100/3.6*1000000</f>
        <v>1090.8757945197042</v>
      </c>
      <c r="O10" s="34"/>
      <c r="P10" s="34"/>
      <c r="R10" s="33"/>
    </row>
    <row r="11" spans="1:18">
      <c r="A11" s="33" t="s">
        <v>54</v>
      </c>
      <c r="B11" s="38">
        <f t="shared" si="0"/>
        <v>2211.0480868425202</v>
      </c>
      <c r="C11" s="34"/>
      <c r="D11" s="38">
        <f>IF(ISERROR(TER_onderwijs_gas_kWh/1000),0,TER_onderwijs_gas_kWh/1000)*0.902</f>
        <v>4735.0022119890818</v>
      </c>
      <c r="E11" s="34">
        <f>$C$31*'E Balans VL '!I11/100/3.6*1000000</f>
        <v>1.8446030153125477</v>
      </c>
      <c r="F11" s="34">
        <f>$C$31*('E Balans VL '!L11+'E Balans VL '!N11)/100/3.6*1000000</f>
        <v>1157.0444824941446</v>
      </c>
      <c r="G11" s="35"/>
      <c r="H11" s="34"/>
      <c r="I11" s="34"/>
      <c r="J11" s="34">
        <f>$C$31*('E Balans VL '!D11+'E Balans VL '!E11)/100/3.6*1000000</f>
        <v>0</v>
      </c>
      <c r="K11" s="34"/>
      <c r="L11" s="34"/>
      <c r="M11" s="34"/>
      <c r="N11" s="34">
        <f>$C$31*'E Balans VL '!Y11/100/3.6*1000000</f>
        <v>9.734764875625741</v>
      </c>
      <c r="O11" s="34"/>
      <c r="P11" s="34"/>
      <c r="R11" s="33"/>
    </row>
    <row r="12" spans="1:18">
      <c r="A12" s="33" t="s">
        <v>249</v>
      </c>
      <c r="B12" s="38">
        <f t="shared" si="0"/>
        <v>72445.449944546897</v>
      </c>
      <c r="C12" s="34"/>
      <c r="D12" s="38">
        <f>IF(ISERROR(TER_rest_gas_kWh/1000),0,TER_rest_gas_kWh/1000)*0.902</f>
        <v>18575.473262914405</v>
      </c>
      <c r="E12" s="34">
        <f>$C$32*'E Balans VL '!I8/100/3.6*1000000</f>
        <v>623.48094499209196</v>
      </c>
      <c r="F12" s="34">
        <f>$C$32*('E Balans VL '!L8+'E Balans VL '!N8)/100/3.6*1000000</f>
        <v>14114.11561976128</v>
      </c>
      <c r="G12" s="35"/>
      <c r="H12" s="34"/>
      <c r="I12" s="34"/>
      <c r="J12" s="34">
        <f>$C$32*('E Balans VL '!D8+'E Balans VL '!E8)/100/3.6*1000000</f>
        <v>0</v>
      </c>
      <c r="K12" s="34"/>
      <c r="L12" s="34"/>
      <c r="M12" s="34"/>
      <c r="N12" s="34">
        <f>$C$32*'E Balans VL '!Y8/100/3.6*1000000</f>
        <v>4163.2184402798393</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103467.19778568516</v>
      </c>
      <c r="C16" s="22">
        <f t="shared" ca="1" si="1"/>
        <v>0</v>
      </c>
      <c r="D16" s="22">
        <f t="shared" ca="1" si="1"/>
        <v>92229.498794123181</v>
      </c>
      <c r="E16" s="22">
        <f t="shared" si="1"/>
        <v>1002.7382014866569</v>
      </c>
      <c r="F16" s="22">
        <f t="shared" ca="1" si="1"/>
        <v>20887.863593075897</v>
      </c>
      <c r="G16" s="22">
        <f t="shared" si="1"/>
        <v>0</v>
      </c>
      <c r="H16" s="22">
        <f t="shared" si="1"/>
        <v>0</v>
      </c>
      <c r="I16" s="22">
        <f t="shared" si="1"/>
        <v>0</v>
      </c>
      <c r="J16" s="22">
        <f t="shared" si="1"/>
        <v>0</v>
      </c>
      <c r="K16" s="22">
        <f t="shared" si="1"/>
        <v>0</v>
      </c>
      <c r="L16" s="22">
        <f t="shared" ca="1" si="1"/>
        <v>0</v>
      </c>
      <c r="M16" s="22">
        <f t="shared" si="1"/>
        <v>0</v>
      </c>
      <c r="N16" s="22">
        <f t="shared" ca="1" si="1"/>
        <v>5389.9904200206038</v>
      </c>
      <c r="O16" s="22">
        <f>O5</f>
        <v>0</v>
      </c>
      <c r="P16" s="22">
        <f>P5</f>
        <v>57.2</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0.20931444366862745</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21657.178942462531</v>
      </c>
      <c r="C20" s="24">
        <f t="shared" ref="C20:P20" ca="1" si="2">C16*C18</f>
        <v>0</v>
      </c>
      <c r="D20" s="24">
        <f t="shared" ca="1" si="2"/>
        <v>18630.358756412883</v>
      </c>
      <c r="E20" s="24">
        <f t="shared" si="2"/>
        <v>227.62157173747113</v>
      </c>
      <c r="F20" s="24">
        <f t="shared" ca="1" si="2"/>
        <v>5577.0595793512648</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6872.8204906905603</v>
      </c>
      <c r="C26" s="40">
        <f>IF(ISERROR(B26*3.6/1000000/'E Balans VL '!Z12*100),0,B26*3.6/1000000/'E Balans VL '!Z12*100)</f>
        <v>0.14566981759955649</v>
      </c>
      <c r="D26" s="236" t="s">
        <v>660</v>
      </c>
      <c r="F26" s="6"/>
    </row>
    <row r="27" spans="1:18">
      <c r="A27" s="231" t="s">
        <v>52</v>
      </c>
      <c r="B27" s="34">
        <f>IF(ISERROR(TER_horeca_ele_kWh/1000),0,TER_horeca_ele_kWh/1000)</f>
        <v>5428.1043567014594</v>
      </c>
      <c r="C27" s="40">
        <f>IF(ISERROR(B27*3.6/1000000/'E Balans VL '!Z9*100),0,B27*3.6/1000000/'E Balans VL '!Z9*100)</f>
        <v>0.4259511917668754</v>
      </c>
      <c r="D27" s="236" t="s">
        <v>660</v>
      </c>
      <c r="F27" s="6"/>
    </row>
    <row r="28" spans="1:18">
      <c r="A28" s="171" t="s">
        <v>51</v>
      </c>
      <c r="B28" s="34">
        <f>IF(ISERROR(TER_handel_ele_kWh/1000),0,TER_handel_ele_kWh/1000)</f>
        <v>12371.356549107</v>
      </c>
      <c r="C28" s="40">
        <f>IF(ISERROR(B28*3.6/1000000/'E Balans VL '!Z13*100),0,B28*3.6/1000000/'E Balans VL '!Z13*100)</f>
        <v>0.34548800687039011</v>
      </c>
      <c r="D28" s="236" t="s">
        <v>660</v>
      </c>
      <c r="F28" s="6"/>
    </row>
    <row r="29" spans="1:18">
      <c r="A29" s="231" t="s">
        <v>50</v>
      </c>
      <c r="B29" s="34">
        <f>IF(ISERROR(TER_gezond_ele_kWh/1000),0,TER_gezond_ele_kWh/1000)</f>
        <v>1841.6221946814001</v>
      </c>
      <c r="C29" s="40">
        <f>IF(ISERROR(B29*3.6/1000000/'E Balans VL '!Z10*100),0,B29*3.6/1000000/'E Balans VL '!Z10*100)</f>
        <v>0.21104866510330361</v>
      </c>
      <c r="D29" s="236" t="s">
        <v>660</v>
      </c>
      <c r="F29" s="6"/>
    </row>
    <row r="30" spans="1:18">
      <c r="A30" s="231" t="s">
        <v>49</v>
      </c>
      <c r="B30" s="34">
        <f>IF(ISERROR(TER_ander_ele_kWh/1000),0,TER_ander_ele_kWh/1000)</f>
        <v>2296.7961631153198</v>
      </c>
      <c r="C30" s="40">
        <f>IF(ISERROR(B30*3.6/1000000/'E Balans VL '!Z14*100),0,B30*3.6/1000000/'E Balans VL '!Z14*100)</f>
        <v>0.17126529696361983</v>
      </c>
      <c r="D30" s="236" t="s">
        <v>660</v>
      </c>
      <c r="F30" s="6"/>
    </row>
    <row r="31" spans="1:18">
      <c r="A31" s="231" t="s">
        <v>54</v>
      </c>
      <c r="B31" s="34">
        <f>IF(ISERROR(TER_onderwijs_ele_kWh/1000),0,TER_onderwijs_ele_kWh/1000)</f>
        <v>2211.0480868425202</v>
      </c>
      <c r="C31" s="40">
        <f>IF(ISERROR(B31*3.6/1000000/'E Balans VL '!Z11*100),0,B31*3.6/1000000/'E Balans VL '!Z11*100)</f>
        <v>0.63192241970955798</v>
      </c>
      <c r="D31" s="236" t="s">
        <v>660</v>
      </c>
    </row>
    <row r="32" spans="1:18">
      <c r="A32" s="231" t="s">
        <v>249</v>
      </c>
      <c r="B32" s="34">
        <f>IF(ISERROR(TER_rest_ele_kWh/1000),0,TER_rest_ele_kWh/1000)</f>
        <v>72445.449944546897</v>
      </c>
      <c r="C32" s="40">
        <f>IF(ISERROR(B32*3.6/1000000/'E Balans VL '!Z8*100),0,B32*3.6/1000000/'E Balans VL '!Z8*100)</f>
        <v>0.59690544997281614</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3</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58201.299920400284</v>
      </c>
      <c r="C5" s="18">
        <f>IF(ISERROR('Eigen informatie GS &amp; warmtenet'!B59),0,'Eigen informatie GS &amp; warmtenet'!B59)</f>
        <v>0</v>
      </c>
      <c r="D5" s="31">
        <f>SUM(D6:D15)</f>
        <v>32815.300350221434</v>
      </c>
      <c r="E5" s="18">
        <f>SUM(E6:E15)</f>
        <v>457.00233711371823</v>
      </c>
      <c r="F5" s="18">
        <f>SUM(F6:F15)</f>
        <v>23872.84489479191</v>
      </c>
      <c r="G5" s="19"/>
      <c r="H5" s="18"/>
      <c r="I5" s="18"/>
      <c r="J5" s="18">
        <f>SUM(J6:J15)</f>
        <v>194.16338670072994</v>
      </c>
      <c r="K5" s="18"/>
      <c r="L5" s="18"/>
      <c r="M5" s="18"/>
      <c r="N5" s="18">
        <f>SUM(N6:N15)</f>
        <v>2712.5849178270018</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554.26419081984602</v>
      </c>
      <c r="C8" s="34"/>
      <c r="D8" s="38">
        <f>IF( ISERROR(IND_metaal_Gas_kWH/1000),0,IND_metaal_Gas_kWH/1000)*0.902</f>
        <v>646.08265625739568</v>
      </c>
      <c r="E8" s="34">
        <f>C30*'E Balans VL '!I18/100/3.6*1000000</f>
        <v>5.0475841005415321</v>
      </c>
      <c r="F8" s="34">
        <f>C30*'E Balans VL '!L18/100/3.6*1000000+C30*'E Balans VL '!N18/100/3.6*1000000</f>
        <v>73.10323761457812</v>
      </c>
      <c r="G8" s="35"/>
      <c r="H8" s="34"/>
      <c r="I8" s="34"/>
      <c r="J8" s="41">
        <f>C30*'E Balans VL '!D18/100/3.6*1000000+C30*'E Balans VL '!E18/100/3.6*1000000</f>
        <v>9.0891279668190403</v>
      </c>
      <c r="K8" s="34"/>
      <c r="L8" s="34"/>
      <c r="M8" s="34"/>
      <c r="N8" s="34">
        <f>C30*'E Balans VL '!Y18/100/3.6*1000000</f>
        <v>1.9047858429628139</v>
      </c>
      <c r="O8" s="34"/>
      <c r="P8" s="34"/>
      <c r="R8" s="33"/>
    </row>
    <row r="9" spans="1:18">
      <c r="A9" s="6" t="s">
        <v>32</v>
      </c>
      <c r="B9" s="38">
        <f t="shared" si="0"/>
        <v>20848.726357189302</v>
      </c>
      <c r="C9" s="34"/>
      <c r="D9" s="38">
        <f>IF( ISERROR(IND_andere_gas_kWh/1000),0,IND_andere_gas_kWh/1000)*0.902</f>
        <v>1303.1098062131214</v>
      </c>
      <c r="E9" s="34">
        <f>C31*'E Balans VL '!I19/100/3.6*1000000</f>
        <v>120.508753929009</v>
      </c>
      <c r="F9" s="34">
        <f>C31*'E Balans VL '!L19/100/3.6*1000000+C31*'E Balans VL '!N19/100/3.6*1000000</f>
        <v>16586.165018158277</v>
      </c>
      <c r="G9" s="35"/>
      <c r="H9" s="34"/>
      <c r="I9" s="34"/>
      <c r="J9" s="41">
        <f>C31*'E Balans VL '!D19/100/3.6*1000000+C31*'E Balans VL '!E19/100/3.6*1000000</f>
        <v>1.9720579322969889</v>
      </c>
      <c r="K9" s="34"/>
      <c r="L9" s="34"/>
      <c r="M9" s="34"/>
      <c r="N9" s="34">
        <f>C31*'E Balans VL '!Y19/100/3.6*1000000</f>
        <v>1579.6065317388345</v>
      </c>
      <c r="O9" s="34"/>
      <c r="P9" s="34"/>
      <c r="R9" s="33"/>
    </row>
    <row r="10" spans="1:18">
      <c r="A10" s="6" t="s">
        <v>40</v>
      </c>
      <c r="B10" s="38">
        <f t="shared" si="0"/>
        <v>357.599629698466</v>
      </c>
      <c r="C10" s="34"/>
      <c r="D10" s="38">
        <f>IF( ISERROR(IND_voed_gas_kWh/1000),0,IND_voed_gas_kWh/1000)*0.902</f>
        <v>428.93398012917032</v>
      </c>
      <c r="E10" s="34">
        <f>C32*'E Balans VL '!I20/100/3.6*1000000</f>
        <v>3.5161398946772957</v>
      </c>
      <c r="F10" s="34">
        <f>C32*'E Balans VL '!L20/100/3.6*1000000+C32*'E Balans VL '!N20/100/3.6*1000000</f>
        <v>39.716106498815662</v>
      </c>
      <c r="G10" s="35"/>
      <c r="H10" s="34"/>
      <c r="I10" s="34"/>
      <c r="J10" s="41">
        <f>C32*'E Balans VL '!D20/100/3.6*1000000+C32*'E Balans VL '!E20/100/3.6*1000000</f>
        <v>1.4094624811051377E-3</v>
      </c>
      <c r="K10" s="34"/>
      <c r="L10" s="34"/>
      <c r="M10" s="34"/>
      <c r="N10" s="34">
        <f>C32*'E Balans VL '!Y20/100/3.6*1000000</f>
        <v>5.2952093528401516</v>
      </c>
      <c r="O10" s="34"/>
      <c r="P10" s="34"/>
      <c r="R10" s="33"/>
    </row>
    <row r="11" spans="1:18">
      <c r="A11" s="6" t="s">
        <v>39</v>
      </c>
      <c r="B11" s="38">
        <f t="shared" si="0"/>
        <v>8.3734206492877998</v>
      </c>
      <c r="C11" s="34"/>
      <c r="D11" s="38">
        <f>IF( ISERROR(IND_textiel_gas_kWh/1000),0,IND_textiel_gas_kWh/1000)*0.902</f>
        <v>0</v>
      </c>
      <c r="E11" s="34">
        <f>C33*'E Balans VL '!I21/100/3.6*1000000</f>
        <v>1.6304994369762845E-2</v>
      </c>
      <c r="F11" s="34">
        <f>C33*'E Balans VL '!L21/100/3.6*1000000+C33*'E Balans VL '!N21/100/3.6*1000000</f>
        <v>0.27618289042336852</v>
      </c>
      <c r="G11" s="35"/>
      <c r="H11" s="34"/>
      <c r="I11" s="34"/>
      <c r="J11" s="41">
        <f>C33*'E Balans VL '!D21/100/3.6*1000000+C33*'E Balans VL '!E21/100/3.6*1000000</f>
        <v>0</v>
      </c>
      <c r="K11" s="34"/>
      <c r="L11" s="34"/>
      <c r="M11" s="34"/>
      <c r="N11" s="34">
        <f>C33*'E Balans VL '!Y21/100/3.6*1000000</f>
        <v>8.685439571397717E-2</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21.6878609365796</v>
      </c>
      <c r="C13" s="34"/>
      <c r="D13" s="38">
        <f>IF( ISERROR(IND_papier_gas_kWh/1000),0,IND_papier_gas_kWh/1000)*0.902</f>
        <v>18.681779049074301</v>
      </c>
      <c r="E13" s="34">
        <f>C35*'E Balans VL '!I23/100/3.6*1000000</f>
        <v>0.7387199888652376</v>
      </c>
      <c r="F13" s="34">
        <f>C35*'E Balans VL '!L23/100/3.6*1000000+C35*'E Balans VL '!N23/100/3.6*1000000</f>
        <v>3.5823256235833507</v>
      </c>
      <c r="G13" s="35"/>
      <c r="H13" s="34"/>
      <c r="I13" s="34"/>
      <c r="J13" s="41">
        <f>C35*'E Balans VL '!D23/100/3.6*1000000+C35*'E Balans VL '!E23/100/3.6*1000000</f>
        <v>0</v>
      </c>
      <c r="K13" s="34"/>
      <c r="L13" s="34"/>
      <c r="M13" s="34"/>
      <c r="N13" s="34">
        <f>C35*'E Balans VL '!Y23/100/3.6*1000000</f>
        <v>7.9805512013184448</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36410.648461106801</v>
      </c>
      <c r="C15" s="34"/>
      <c r="D15" s="38">
        <f>IF( ISERROR(IND_rest_gas_kWh/1000),0,IND_rest_gas_kWh/1000)*0.902</f>
        <v>30418.49212857267</v>
      </c>
      <c r="E15" s="34">
        <f>C37*'E Balans VL '!I15/100/3.6*1000000</f>
        <v>327.17483420625541</v>
      </c>
      <c r="F15" s="34">
        <f>C37*'E Balans VL '!L15/100/3.6*1000000+C37*'E Balans VL '!N15/100/3.6*1000000</f>
        <v>7170.0020240062386</v>
      </c>
      <c r="G15" s="35"/>
      <c r="H15" s="34"/>
      <c r="I15" s="34"/>
      <c r="J15" s="41">
        <f>C37*'E Balans VL '!D15/100/3.6*1000000+C37*'E Balans VL '!E15/100/3.6*1000000</f>
        <v>183.1007913391328</v>
      </c>
      <c r="K15" s="34"/>
      <c r="L15" s="34"/>
      <c r="M15" s="34"/>
      <c r="N15" s="34">
        <f>C37*'E Balans VL '!Y15/100/3.6*1000000</f>
        <v>1117.710985295332</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58201.299920400284</v>
      </c>
      <c r="C18" s="22">
        <f>C5+C16</f>
        <v>0</v>
      </c>
      <c r="D18" s="22">
        <f>MAX((D5+D16),0)</f>
        <v>32815.300350221434</v>
      </c>
      <c r="E18" s="22">
        <f>MAX((E5+E16),0)</f>
        <v>457.00233711371823</v>
      </c>
      <c r="F18" s="22">
        <f>MAX((F5+F16),0)</f>
        <v>23872.84489479191</v>
      </c>
      <c r="G18" s="22"/>
      <c r="H18" s="22"/>
      <c r="I18" s="22"/>
      <c r="J18" s="22">
        <f>MAX((J5+J16),0)</f>
        <v>194.16338670072994</v>
      </c>
      <c r="K18" s="22"/>
      <c r="L18" s="22">
        <f>MAX((L5+L16),0)</f>
        <v>0</v>
      </c>
      <c r="M18" s="22"/>
      <c r="N18" s="22">
        <f>MAX((N5+N16),0)</f>
        <v>2712.5849178270018</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0.20931444366862745</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12182.372713629517</v>
      </c>
      <c r="C22" s="24">
        <f ca="1">C18*C20</f>
        <v>0</v>
      </c>
      <c r="D22" s="24">
        <f>D18*D20</f>
        <v>6628.6906707447297</v>
      </c>
      <c r="E22" s="24">
        <f>E18*E20</f>
        <v>103.73953052481404</v>
      </c>
      <c r="F22" s="24">
        <f>F18*F20</f>
        <v>6374.0495869094402</v>
      </c>
      <c r="G22" s="24"/>
      <c r="H22" s="24"/>
      <c r="I22" s="24"/>
      <c r="J22" s="24">
        <f>J18*J20</f>
        <v>68.733838892058401</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554.26419081984602</v>
      </c>
      <c r="C30" s="40">
        <f>IF(ISERROR(B30*3.6/1000000/'E Balans VL '!Z18*100),0,B30*3.6/1000000/'E Balans VL '!Z18*100)</f>
        <v>3.0841095886279792E-2</v>
      </c>
      <c r="D30" s="236" t="s">
        <v>660</v>
      </c>
    </row>
    <row r="31" spans="1:18">
      <c r="A31" s="6" t="s">
        <v>32</v>
      </c>
      <c r="B31" s="38">
        <f>IF( ISERROR(IND_ander_ele_kWh/1000),0,IND_ander_ele_kWh/1000)</f>
        <v>20848.726357189302</v>
      </c>
      <c r="C31" s="40">
        <f>IF(ISERROR(B31*3.6/1000000/'E Balans VL '!Z19*100),0,B31*3.6/1000000/'E Balans VL '!Z19*100)</f>
        <v>0.96920253327906614</v>
      </c>
      <c r="D31" s="236" t="s">
        <v>660</v>
      </c>
    </row>
    <row r="32" spans="1:18">
      <c r="A32" s="171" t="s">
        <v>40</v>
      </c>
      <c r="B32" s="38">
        <f>IF( ISERROR(IND_voed_ele_kWh/1000),0,IND_voed_ele_kWh/1000)</f>
        <v>357.599629698466</v>
      </c>
      <c r="C32" s="40">
        <f>IF(ISERROR(B32*3.6/1000000/'E Balans VL '!Z20*100),0,B32*3.6/1000000/'E Balans VL '!Z20*100)</f>
        <v>1.2640424706802982E-2</v>
      </c>
      <c r="D32" s="236" t="s">
        <v>660</v>
      </c>
    </row>
    <row r="33" spans="1:5">
      <c r="A33" s="171" t="s">
        <v>39</v>
      </c>
      <c r="B33" s="38">
        <f>IF( ISERROR(IND_textiel_ele_kWh/1000),0,IND_textiel_ele_kWh/1000)</f>
        <v>8.3734206492877998</v>
      </c>
      <c r="C33" s="40">
        <f>IF(ISERROR(B33*3.6/1000000/'E Balans VL '!Z21*100),0,B33*3.6/1000000/'E Balans VL '!Z21*100)</f>
        <v>1.1309575164405461E-3</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21.6878609365796</v>
      </c>
      <c r="C35" s="40">
        <f>IF(ISERROR(B35*3.6/1000000/'E Balans VL '!Z22*100),0,B35*3.6/1000000/'E Balans VL '!Z22*100)</f>
        <v>4.3586484712356674E-3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36410.648461106801</v>
      </c>
      <c r="C37" s="40">
        <f>IF(ISERROR(B37*3.6/1000000/'E Balans VL '!Z15*100),0,B37*3.6/1000000/'E Balans VL '!Z15*100)</f>
        <v>0.27495418254248172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734.95807394058897</v>
      </c>
      <c r="C5" s="18">
        <f>'Eigen informatie GS &amp; warmtenet'!B60</f>
        <v>0</v>
      </c>
      <c r="D5" s="31">
        <f>IF(ISERROR(SUM(LB_lb_gas_kWh,LB_rest_gas_kWh)/1000),0,SUM(LB_lb_gas_kWh,LB_rest_gas_kWh)/1000)*0.902</f>
        <v>2588.413762328737</v>
      </c>
      <c r="E5" s="18">
        <f>B17*'E Balans VL '!I25/3.6*1000000/100</f>
        <v>7.2578447487110465</v>
      </c>
      <c r="F5" s="18">
        <f>B17*('E Balans VL '!L25/3.6*1000000+'E Balans VL '!N25/3.6*1000000)/100</f>
        <v>2452.0146030795131</v>
      </c>
      <c r="G5" s="19"/>
      <c r="H5" s="18"/>
      <c r="I5" s="18"/>
      <c r="J5" s="18">
        <f>('E Balans VL '!D25+'E Balans VL '!E25)/3.6*1000000*landbouw!B17/100</f>
        <v>73.326508218979058</v>
      </c>
      <c r="K5" s="18"/>
      <c r="L5" s="18">
        <f>L6*(-1)</f>
        <v>0</v>
      </c>
      <c r="M5" s="18"/>
      <c r="N5" s="18">
        <f>N6*(-1)</f>
        <v>14541.428571428572</v>
      </c>
      <c r="O5" s="18"/>
      <c r="P5" s="18"/>
      <c r="R5" s="33"/>
    </row>
    <row r="6" spans="1:18">
      <c r="A6" s="17" t="s">
        <v>488</v>
      </c>
      <c r="B6" s="18" t="s">
        <v>204</v>
      </c>
      <c r="C6" s="18">
        <f>'lokale energieproductie'!O39+'lokale energieproductie'!O32</f>
        <v>7270.7142857142862</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-14541.428571428572</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734.95807394058897</v>
      </c>
      <c r="C8" s="22">
        <f>C5+C6</f>
        <v>7270.7142857142862</v>
      </c>
      <c r="D8" s="22">
        <f>MAX((D5+D6),0)</f>
        <v>2588.413762328737</v>
      </c>
      <c r="E8" s="22">
        <f>MAX((E5+E6),0)</f>
        <v>7.2578447487110465</v>
      </c>
      <c r="F8" s="22">
        <f>MAX((F5+F6),0)</f>
        <v>2452.0146030795131</v>
      </c>
      <c r="G8" s="22"/>
      <c r="H8" s="22"/>
      <c r="I8" s="22"/>
      <c r="J8" s="22">
        <f>MAX((J5+J6),0)</f>
        <v>73.326508218979058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0.20931444366862745</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153.83734036664035</v>
      </c>
      <c r="C12" s="24">
        <f ca="1">C8*C10</f>
        <v>0</v>
      </c>
      <c r="D12" s="24">
        <f>D8*D10</f>
        <v>522.85957999040488</v>
      </c>
      <c r="E12" s="24">
        <f>E8*E10</f>
        <v>1.6475307579574077</v>
      </c>
      <c r="F12" s="24">
        <f>F8*F10</f>
        <v>654.68789902223</v>
      </c>
      <c r="G12" s="24"/>
      <c r="H12" s="24"/>
      <c r="I12" s="24"/>
      <c r="J12" s="24">
        <f>J8*J10</f>
        <v>25.957583909518586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9.9501578956962405E-2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95.610857961039912</v>
      </c>
      <c r="C26" s="246">
        <f>B26*'GWP N2O_CH4'!B5</f>
        <v>2007.828017181838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25.287551009857275</v>
      </c>
      <c r="C27" s="246">
        <f>B27*'GWP N2O_CH4'!B5</f>
        <v>531.03857120700275</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1.4267176626921523</v>
      </c>
      <c r="C28" s="246">
        <f>B28*'GWP N2O_CH4'!B4</f>
        <v>442.28247543456723</v>
      </c>
      <c r="D28" s="51"/>
    </row>
    <row r="29" spans="1:4">
      <c r="A29" s="42" t="s">
        <v>266</v>
      </c>
      <c r="B29" s="246">
        <f>B34*'ha_N2O bodem landbouw'!B4</f>
        <v>8.8852527800202914</v>
      </c>
      <c r="C29" s="246">
        <f>B29*'GWP N2O_CH4'!B4</f>
        <v>2754.4283618062905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2.3987385404770378E-3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9.2145936275817096E-5</v>
      </c>
      <c r="C5" s="433" t="s">
        <v>204</v>
      </c>
      <c r="D5" s="418">
        <f>SUM(D6:D11)</f>
        <v>1.1866372817201738E-4</v>
      </c>
      <c r="E5" s="418">
        <f>SUM(E6:E11)</f>
        <v>8.0932395125895909E-3</v>
      </c>
      <c r="F5" s="431" t="s">
        <v>204</v>
      </c>
      <c r="G5" s="418">
        <f>SUM(G6:G11)</f>
        <v>1.6893313519664668</v>
      </c>
      <c r="H5" s="418">
        <f>SUM(H6:H11)</f>
        <v>0.30599223434691081</v>
      </c>
      <c r="I5" s="433" t="s">
        <v>204</v>
      </c>
      <c r="J5" s="433" t="s">
        <v>204</v>
      </c>
      <c r="K5" s="433" t="s">
        <v>204</v>
      </c>
      <c r="L5" s="433" t="s">
        <v>204</v>
      </c>
      <c r="M5" s="418">
        <f>SUM(M6:M11)</f>
        <v>8.9184035001867862E-2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3.3947188049302237E-5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3.937256242730418E-5</v>
      </c>
      <c r="E6" s="421">
        <f>vkm_GW_PW*SUMIFS(TableVerdeelsleutelVkm[LPG],TableVerdeelsleutelVkm[Voertuigtype],"Lichte voertuigen")*SUMIFS(TableECFTransport[EnergieConsumptieFactor (PJ per km)],TableECFTransport[Index],CONCATENATE($A6,"_LPG_LPG"))</f>
        <v>2.5484412689301085E-3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0.4018171817604691</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0.10160481711337452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2.2533202322409938E-2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1.1562690550555303E-6</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0.19127109816187768</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5.9609575763859976E-6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8.5109778559611937E-3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2.2647692498398701E-5</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4.2810219608693689E-5</v>
      </c>
      <c r="E8" s="421">
        <f>vkm_NGW_PW*SUMIFS(TableVerdeelsleutelVkm[LPG],TableVerdeelsleutelVkm[Voertuigtype],"Lichte voertuigen")*SUMIFS(TableECFTransport[EnergieConsumptieFactor (PJ per km)],TableECFTransport[Index],CONCATENATE($A8,"_LPG_LPG"))</f>
        <v>2.6187507683725834E-3</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0.39041685937931847</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0.10514830076395881</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2.2188253113280668E-2</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4.4815964167176058E-7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9.506665594357612E-2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2.7887290363711588E-6</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4.2301669551053078E-3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3.2754545327490662E-5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3.6480946136019509E-5</v>
      </c>
      <c r="E10" s="421">
        <f>vkm_SW_PW*SUMIFS(TableVerdeelsleutelVkm[LPG],TableVerdeelsleutelVkm[Voertuigtype],"Lichte voertuigen")*SUMIFS(TableECFTransport[EnergieConsumptieFactor (PJ per km)],TableECFTransport[Index],CONCATENATE($A10,"_LPG_LPG"))</f>
        <v>2.9260474752869003E-3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0.42604359882837162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9.9224041301464116E-2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2.3502114502320176E-2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1.1920817038982003E-6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0.18471595789285356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6.3254815006096749E-6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8.2193202527905771E-3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25.596093409949191</v>
      </c>
      <c r="C14" s="22"/>
      <c r="D14" s="22">
        <f t="shared" ref="D14:M14" si="0">((D5)*10^9/3600)+D12</f>
        <v>32.962146714449268</v>
      </c>
      <c r="E14" s="22">
        <f t="shared" si="0"/>
        <v>2248.1220868304417</v>
      </c>
      <c r="F14" s="22"/>
      <c r="G14" s="22">
        <f t="shared" si="0"/>
        <v>469258.70887957409</v>
      </c>
      <c r="H14" s="22">
        <f t="shared" si="0"/>
        <v>84997.842874141905</v>
      </c>
      <c r="I14" s="22"/>
      <c r="J14" s="22"/>
      <c r="K14" s="22"/>
      <c r="L14" s="22"/>
      <c r="M14" s="22">
        <f t="shared" si="0"/>
        <v>24773.343056074405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0.20931444366862745</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5.3576320521937362</v>
      </c>
      <c r="C18" s="24"/>
      <c r="D18" s="24">
        <f t="shared" ref="D18:M18" si="1">D14*D16</f>
        <v>6.6583536363187523</v>
      </c>
      <c r="E18" s="24">
        <f t="shared" si="1"/>
        <v>510.32371371051028</v>
      </c>
      <c r="F18" s="24"/>
      <c r="G18" s="24">
        <f t="shared" si="1"/>
        <v>125292.07527084628</v>
      </c>
      <c r="H18" s="24">
        <f t="shared" si="1"/>
        <v>21164.462875661335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7.282043464867275E-5</v>
      </c>
      <c r="C50" s="316">
        <f t="shared" ref="C50:P50" si="2">SUM(C51:C52)</f>
        <v>0</v>
      </c>
      <c r="D50" s="316">
        <f t="shared" si="2"/>
        <v>0</v>
      </c>
      <c r="E50" s="316">
        <f t="shared" si="2"/>
        <v>0</v>
      </c>
      <c r="F50" s="316">
        <f t="shared" si="2"/>
        <v>0</v>
      </c>
      <c r="G50" s="316">
        <f t="shared" si="2"/>
        <v>1.4524179663213233E-2</v>
      </c>
      <c r="H50" s="316">
        <f t="shared" si="2"/>
        <v>0</v>
      </c>
      <c r="I50" s="316">
        <f t="shared" si="2"/>
        <v>0</v>
      </c>
      <c r="J50" s="316">
        <f t="shared" si="2"/>
        <v>0</v>
      </c>
      <c r="K50" s="316">
        <f t="shared" si="2"/>
        <v>0</v>
      </c>
      <c r="L50" s="316">
        <f t="shared" si="2"/>
        <v>0</v>
      </c>
      <c r="M50" s="316">
        <f t="shared" si="2"/>
        <v>6.4195327223922564E-4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7.282043464867275E-5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1.4524179663213233E-2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6.4195327223922564E-4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20.227898513520206</v>
      </c>
      <c r="C54" s="22">
        <f t="shared" ref="C54:P54" si="3">(C50)*10^9/3600</f>
        <v>0</v>
      </c>
      <c r="D54" s="22">
        <f t="shared" si="3"/>
        <v>0</v>
      </c>
      <c r="E54" s="22">
        <f t="shared" si="3"/>
        <v>0</v>
      </c>
      <c r="F54" s="22">
        <f t="shared" si="3"/>
        <v>0</v>
      </c>
      <c r="G54" s="22">
        <f t="shared" si="3"/>
        <v>4034.4943508925644</v>
      </c>
      <c r="H54" s="22">
        <f t="shared" si="3"/>
        <v>0</v>
      </c>
      <c r="I54" s="22">
        <f t="shared" si="3"/>
        <v>0</v>
      </c>
      <c r="J54" s="22">
        <f t="shared" si="3"/>
        <v>0</v>
      </c>
      <c r="K54" s="22">
        <f t="shared" si="3"/>
        <v>0</v>
      </c>
      <c r="L54" s="22">
        <f t="shared" si="3"/>
        <v>0</v>
      </c>
      <c r="M54" s="22">
        <f t="shared" si="3"/>
        <v>178.32035339978492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0.20931444366862745</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4.2339913239429379</v>
      </c>
      <c r="C58" s="24">
        <f t="shared" ref="C58:P58" ca="1" si="4">C54*C56</f>
        <v>0</v>
      </c>
      <c r="D58" s="24">
        <f t="shared" si="4"/>
        <v>0</v>
      </c>
      <c r="E58" s="24">
        <f t="shared" si="4"/>
        <v>0</v>
      </c>
      <c r="F58" s="24">
        <f t="shared" si="4"/>
        <v>0</v>
      </c>
      <c r="G58" s="24">
        <f t="shared" si="4"/>
        <v>1077.2099916883149</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2648.7481688010957</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4470.6288713385302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5089.5</v>
      </c>
      <c r="C8" s="544">
        <f>B48</f>
        <v>0</v>
      </c>
      <c r="D8" s="931"/>
      <c r="E8" s="931">
        <f>E48</f>
        <v>0</v>
      </c>
      <c r="F8" s="932"/>
      <c r="G8" s="545"/>
      <c r="H8" s="931">
        <f>I48</f>
        <v>0</v>
      </c>
      <c r="I8" s="931">
        <f>G48+F48</f>
        <v>0</v>
      </c>
      <c r="J8" s="931">
        <f>H48+D48+C48</f>
        <v>5987.6470588235297</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12208.877040139625</v>
      </c>
      <c r="C10" s="556">
        <f t="shared" ref="C10:L10" si="0">SUM(C8:C9)</f>
        <v>0</v>
      </c>
      <c r="D10" s="556">
        <f t="shared" si="0"/>
        <v>0</v>
      </c>
      <c r="E10" s="556">
        <f t="shared" si="0"/>
        <v>0</v>
      </c>
      <c r="F10" s="556">
        <f t="shared" si="0"/>
        <v>0</v>
      </c>
      <c r="G10" s="556">
        <f t="shared" si="0"/>
        <v>0</v>
      </c>
      <c r="H10" s="556">
        <f t="shared" si="0"/>
        <v>0</v>
      </c>
      <c r="I10" s="556">
        <f t="shared" si="0"/>
        <v>0</v>
      </c>
      <c r="J10" s="556">
        <f t="shared" si="0"/>
        <v>5987.6470588235297</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7270.7142857142862</v>
      </c>
      <c r="C17" s="568">
        <f>B49</f>
        <v>0</v>
      </c>
      <c r="D17" s="569"/>
      <c r="E17" s="569">
        <f>E49</f>
        <v>0</v>
      </c>
      <c r="F17" s="570"/>
      <c r="G17" s="571"/>
      <c r="H17" s="568">
        <f>I49</f>
        <v>0</v>
      </c>
      <c r="I17" s="569">
        <f>G49+F49</f>
        <v>0</v>
      </c>
      <c r="J17" s="569">
        <f>H49+D49+C49</f>
        <v>8553.7815126050427</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7270.7142857142862</v>
      </c>
      <c r="C20" s="555">
        <f>SUM(C17:C19)</f>
        <v>0</v>
      </c>
      <c r="D20" s="555">
        <f t="shared" ref="D20:L20" si="1">SUM(D17:D19)</f>
        <v>0</v>
      </c>
      <c r="E20" s="555">
        <f t="shared" si="1"/>
        <v>0</v>
      </c>
      <c r="F20" s="555">
        <f t="shared" si="1"/>
        <v>0</v>
      </c>
      <c r="G20" s="555">
        <f t="shared" si="1"/>
        <v>0</v>
      </c>
      <c r="H20" s="555">
        <f t="shared" si="1"/>
        <v>0</v>
      </c>
      <c r="I20" s="555">
        <f t="shared" si="1"/>
        <v>0</v>
      </c>
      <c r="J20" s="555">
        <f t="shared" si="1"/>
        <v>8553.7815126050427</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23027</v>
      </c>
      <c r="C28" s="740">
        <v>1500</v>
      </c>
      <c r="D28" s="628"/>
      <c r="E28" s="627"/>
      <c r="F28" s="627"/>
      <c r="G28" s="627" t="s">
        <v>942</v>
      </c>
      <c r="H28" s="627" t="s">
        <v>943</v>
      </c>
      <c r="I28" s="627"/>
      <c r="J28" s="739"/>
      <c r="K28" s="739"/>
      <c r="L28" s="627" t="s">
        <v>944</v>
      </c>
      <c r="M28" s="627">
        <v>1131</v>
      </c>
      <c r="N28" s="627">
        <v>5089.5</v>
      </c>
      <c r="O28" s="627">
        <v>7270.7142857142862</v>
      </c>
      <c r="P28" s="627">
        <v>0</v>
      </c>
      <c r="Q28" s="627">
        <v>14541.428571428572</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1131</v>
      </c>
      <c r="N29" s="585">
        <f>SUM(N28:N28)</f>
        <v>5089.5</v>
      </c>
      <c r="O29" s="585">
        <f>SUM(O28:O28)</f>
        <v>7270.7142857142862</v>
      </c>
      <c r="P29" s="585">
        <f>SUM(P28:P28)</f>
        <v>0</v>
      </c>
      <c r="Q29" s="585">
        <f>SUM(Q28:Q28)</f>
        <v>14541.428571428572</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1131</v>
      </c>
      <c r="N32" s="590">
        <f>SUMIF($AA$28:$AA$28,"landbouw",N28:N28)</f>
        <v>5089.5</v>
      </c>
      <c r="O32" s="590">
        <f>SUMIF($AA$28:$AA$28,"landbouw",O28:O28)</f>
        <v>7270.7142857142862</v>
      </c>
      <c r="P32" s="590">
        <f>SUMIF($AA$28:$AA$28,"landbouw",P28:P28)</f>
        <v>0</v>
      </c>
      <c r="Q32" s="590">
        <f>SUMIF($AA$28:$AA$28,"landbouw",Q28:Q28)</f>
        <v>14541.428571428572</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5987.6470588235297</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8553.7815126050427</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106451.90378568516</v>
      </c>
      <c r="D10" s="639">
        <f ca="1">tertiair!C16</f>
        <v>0</v>
      </c>
      <c r="E10" s="639">
        <f ca="1">tertiair!D16</f>
        <v>92229.498794123181</v>
      </c>
      <c r="F10" s="639">
        <f>tertiair!E16</f>
        <v>1002.7382014866569</v>
      </c>
      <c r="G10" s="639">
        <f ca="1">tertiair!F16</f>
        <v>20887.863593075897</v>
      </c>
      <c r="H10" s="639">
        <f>tertiair!G16</f>
        <v>0</v>
      </c>
      <c r="I10" s="639">
        <f>tertiair!H16</f>
        <v>0</v>
      </c>
      <c r="J10" s="639">
        <f>tertiair!I16</f>
        <v>0</v>
      </c>
      <c r="K10" s="639">
        <f>tertiair!J16</f>
        <v>0</v>
      </c>
      <c r="L10" s="639">
        <f>tertiair!K16</f>
        <v>0</v>
      </c>
      <c r="M10" s="639">
        <f ca="1">tertiair!L16</f>
        <v>0</v>
      </c>
      <c r="N10" s="639">
        <f>tertiair!M16</f>
        <v>0</v>
      </c>
      <c r="O10" s="639">
        <f ca="1">tertiair!N16</f>
        <v>5389.9904200206038</v>
      </c>
      <c r="P10" s="639">
        <f>tertiair!O16</f>
        <v>0</v>
      </c>
      <c r="Q10" s="640">
        <f>tertiair!P16</f>
        <v>57.2</v>
      </c>
      <c r="R10" s="642">
        <f ca="1">SUM(C10:Q10)</f>
        <v>226019.19479439149</v>
      </c>
      <c r="S10" s="68"/>
    </row>
    <row r="11" spans="1:19" s="443" customFormat="1">
      <c r="A11" s="753" t="s">
        <v>214</v>
      </c>
      <c r="B11" s="758"/>
      <c r="C11" s="639">
        <f>huishoudens!B8</f>
        <v>62990.028454916588</v>
      </c>
      <c r="D11" s="639">
        <f>huishoudens!C8</f>
        <v>0</v>
      </c>
      <c r="E11" s="639">
        <f>huishoudens!D8</f>
        <v>181220.19593368215</v>
      </c>
      <c r="F11" s="639">
        <f>huishoudens!E8</f>
        <v>2331.6777798170042</v>
      </c>
      <c r="G11" s="639">
        <f>huishoudens!F8</f>
        <v>71086.085956171635</v>
      </c>
      <c r="H11" s="639">
        <f>huishoudens!G8</f>
        <v>0</v>
      </c>
      <c r="I11" s="639">
        <f>huishoudens!H8</f>
        <v>0</v>
      </c>
      <c r="J11" s="639">
        <f>huishoudens!I8</f>
        <v>0</v>
      </c>
      <c r="K11" s="639">
        <f>huishoudens!J8</f>
        <v>1289.8322600242304</v>
      </c>
      <c r="L11" s="639">
        <f>huishoudens!K8</f>
        <v>0</v>
      </c>
      <c r="M11" s="639">
        <f>huishoudens!L8</f>
        <v>0</v>
      </c>
      <c r="N11" s="639">
        <f>huishoudens!M8</f>
        <v>0</v>
      </c>
      <c r="O11" s="639">
        <f>huishoudens!N8</f>
        <v>21392.405494348324</v>
      </c>
      <c r="P11" s="639">
        <f>huishoudens!O8</f>
        <v>110.99666666666667</v>
      </c>
      <c r="Q11" s="640">
        <f>huishoudens!P8</f>
        <v>343.2</v>
      </c>
      <c r="R11" s="642">
        <f>SUM(C11:Q11)</f>
        <v>340764.42254562653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58201.299920400284</v>
      </c>
      <c r="D13" s="639">
        <f>industrie!C18</f>
        <v>0</v>
      </c>
      <c r="E13" s="639">
        <f>industrie!D18</f>
        <v>32815.300350221434</v>
      </c>
      <c r="F13" s="639">
        <f>industrie!E18</f>
        <v>457.00233711371823</v>
      </c>
      <c r="G13" s="639">
        <f>industrie!F18</f>
        <v>23872.84489479191</v>
      </c>
      <c r="H13" s="639">
        <f>industrie!G18</f>
        <v>0</v>
      </c>
      <c r="I13" s="639">
        <f>industrie!H18</f>
        <v>0</v>
      </c>
      <c r="J13" s="639">
        <f>industrie!I18</f>
        <v>0</v>
      </c>
      <c r="K13" s="639">
        <f>industrie!J18</f>
        <v>194.16338670072994</v>
      </c>
      <c r="L13" s="639">
        <f>industrie!K18</f>
        <v>0</v>
      </c>
      <c r="M13" s="639">
        <f>industrie!L18</f>
        <v>0</v>
      </c>
      <c r="N13" s="639">
        <f>industrie!M18</f>
        <v>0</v>
      </c>
      <c r="O13" s="639">
        <f>industrie!N18</f>
        <v>2712.5849178270018</v>
      </c>
      <c r="P13" s="639">
        <f>industrie!O18</f>
        <v>0</v>
      </c>
      <c r="Q13" s="640">
        <f>industrie!P18</f>
        <v>0</v>
      </c>
      <c r="R13" s="642">
        <f>SUM(C13:Q13)</f>
        <v>118253.19580705508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227643.23216100203</v>
      </c>
      <c r="D16" s="672">
        <f t="shared" ref="D16:R16" ca="1" si="0">SUM(D9:D15)</f>
        <v>0</v>
      </c>
      <c r="E16" s="672">
        <f t="shared" ca="1" si="0"/>
        <v>306264.99507802678</v>
      </c>
      <c r="F16" s="672">
        <f t="shared" si="0"/>
        <v>3791.4183184173794</v>
      </c>
      <c r="G16" s="672">
        <f t="shared" ca="1" si="0"/>
        <v>115846.79444403945</v>
      </c>
      <c r="H16" s="672">
        <f t="shared" si="0"/>
        <v>0</v>
      </c>
      <c r="I16" s="672">
        <f t="shared" si="0"/>
        <v>0</v>
      </c>
      <c r="J16" s="672">
        <f t="shared" si="0"/>
        <v>0</v>
      </c>
      <c r="K16" s="672">
        <f t="shared" si="0"/>
        <v>1483.9956467249604</v>
      </c>
      <c r="L16" s="672">
        <f t="shared" si="0"/>
        <v>0</v>
      </c>
      <c r="M16" s="672">
        <f t="shared" ca="1" si="0"/>
        <v>0</v>
      </c>
      <c r="N16" s="672">
        <f t="shared" si="0"/>
        <v>0</v>
      </c>
      <c r="O16" s="672">
        <f t="shared" ca="1" si="0"/>
        <v>29494.980832195928</v>
      </c>
      <c r="P16" s="672">
        <f t="shared" si="0"/>
        <v>110.99666666666667</v>
      </c>
      <c r="Q16" s="672">
        <f t="shared" si="0"/>
        <v>400.4</v>
      </c>
      <c r="R16" s="672">
        <f t="shared" ca="1" si="0"/>
        <v>685036.81314707315</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20.227898513520206</v>
      </c>
      <c r="D19" s="639">
        <f>transport!C54</f>
        <v>0</v>
      </c>
      <c r="E19" s="639">
        <f>transport!D54</f>
        <v>0</v>
      </c>
      <c r="F19" s="639">
        <f>transport!E54</f>
        <v>0</v>
      </c>
      <c r="G19" s="639">
        <f>transport!F54</f>
        <v>0</v>
      </c>
      <c r="H19" s="639">
        <f>transport!G54</f>
        <v>4034.4943508925644</v>
      </c>
      <c r="I19" s="639">
        <f>transport!H54</f>
        <v>0</v>
      </c>
      <c r="J19" s="639">
        <f>transport!I54</f>
        <v>0</v>
      </c>
      <c r="K19" s="639">
        <f>transport!J54</f>
        <v>0</v>
      </c>
      <c r="L19" s="639">
        <f>transport!K54</f>
        <v>0</v>
      </c>
      <c r="M19" s="639">
        <f>transport!L54</f>
        <v>0</v>
      </c>
      <c r="N19" s="639">
        <f>transport!M54</f>
        <v>178.32035339978492</v>
      </c>
      <c r="O19" s="639">
        <f>transport!N54</f>
        <v>0</v>
      </c>
      <c r="P19" s="639">
        <f>transport!O54</f>
        <v>0</v>
      </c>
      <c r="Q19" s="640">
        <f>transport!P54</f>
        <v>0</v>
      </c>
      <c r="R19" s="642">
        <f>SUM(C19:Q19)</f>
        <v>4233.04260280587</v>
      </c>
      <c r="S19" s="68"/>
    </row>
    <row r="20" spans="1:19" s="443" customFormat="1">
      <c r="A20" s="753" t="s">
        <v>296</v>
      </c>
      <c r="B20" s="758"/>
      <c r="C20" s="639">
        <f>transport!B14</f>
        <v>25.596093409949191</v>
      </c>
      <c r="D20" s="639">
        <f>transport!C14</f>
        <v>0</v>
      </c>
      <c r="E20" s="639">
        <f>transport!D14</f>
        <v>32.962146714449268</v>
      </c>
      <c r="F20" s="639">
        <f>transport!E14</f>
        <v>2248.1220868304417</v>
      </c>
      <c r="G20" s="639">
        <f>transport!F14</f>
        <v>0</v>
      </c>
      <c r="H20" s="639">
        <f>transport!G14</f>
        <v>469258.70887957409</v>
      </c>
      <c r="I20" s="639">
        <f>transport!H14</f>
        <v>84997.842874141905</v>
      </c>
      <c r="J20" s="639">
        <f>transport!I14</f>
        <v>0</v>
      </c>
      <c r="K20" s="639">
        <f>transport!J14</f>
        <v>0</v>
      </c>
      <c r="L20" s="639">
        <f>transport!K14</f>
        <v>0</v>
      </c>
      <c r="M20" s="639">
        <f>transport!L14</f>
        <v>0</v>
      </c>
      <c r="N20" s="639">
        <f>transport!M14</f>
        <v>24773.343056074405</v>
      </c>
      <c r="O20" s="639">
        <f>transport!N14</f>
        <v>0</v>
      </c>
      <c r="P20" s="639">
        <f>transport!O14</f>
        <v>0</v>
      </c>
      <c r="Q20" s="640">
        <f>transport!P14</f>
        <v>0</v>
      </c>
      <c r="R20" s="642">
        <f>SUM(C20:Q20)</f>
        <v>581336.57513674523</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45.823991923469393</v>
      </c>
      <c r="D22" s="756">
        <f t="shared" ref="D22:R22" si="1">SUM(D18:D21)</f>
        <v>0</v>
      </c>
      <c r="E22" s="756">
        <f t="shared" si="1"/>
        <v>32.962146714449268</v>
      </c>
      <c r="F22" s="756">
        <f t="shared" si="1"/>
        <v>2248.1220868304417</v>
      </c>
      <c r="G22" s="756">
        <f t="shared" si="1"/>
        <v>0</v>
      </c>
      <c r="H22" s="756">
        <f t="shared" si="1"/>
        <v>473293.20323046664</v>
      </c>
      <c r="I22" s="756">
        <f t="shared" si="1"/>
        <v>84997.842874141905</v>
      </c>
      <c r="J22" s="756">
        <f t="shared" si="1"/>
        <v>0</v>
      </c>
      <c r="K22" s="756">
        <f t="shared" si="1"/>
        <v>0</v>
      </c>
      <c r="L22" s="756">
        <f t="shared" si="1"/>
        <v>0</v>
      </c>
      <c r="M22" s="756">
        <f t="shared" si="1"/>
        <v>0</v>
      </c>
      <c r="N22" s="756">
        <f t="shared" si="1"/>
        <v>24951.663409474189</v>
      </c>
      <c r="O22" s="756">
        <f t="shared" si="1"/>
        <v>0</v>
      </c>
      <c r="P22" s="756">
        <f t="shared" si="1"/>
        <v>0</v>
      </c>
      <c r="Q22" s="756">
        <f t="shared" si="1"/>
        <v>0</v>
      </c>
      <c r="R22" s="756">
        <f t="shared" si="1"/>
        <v>585569.61773955112</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734.95807394058897</v>
      </c>
      <c r="D24" s="639">
        <f>+landbouw!C8</f>
        <v>7270.7142857142862</v>
      </c>
      <c r="E24" s="639">
        <f>+landbouw!D8</f>
        <v>2588.413762328737</v>
      </c>
      <c r="F24" s="639">
        <f>+landbouw!E8</f>
        <v>7.2578447487110465</v>
      </c>
      <c r="G24" s="639">
        <f>+landbouw!F8</f>
        <v>2452.0146030795131</v>
      </c>
      <c r="H24" s="639">
        <f>+landbouw!G8</f>
        <v>0</v>
      </c>
      <c r="I24" s="639">
        <f>+landbouw!H8</f>
        <v>0</v>
      </c>
      <c r="J24" s="639">
        <f>+landbouw!I8</f>
        <v>0</v>
      </c>
      <c r="K24" s="639">
        <f>+landbouw!J8</f>
        <v>73.326508218979058</v>
      </c>
      <c r="L24" s="639">
        <f>+landbouw!K8</f>
        <v>0</v>
      </c>
      <c r="M24" s="639">
        <f>+landbouw!L8</f>
        <v>0</v>
      </c>
      <c r="N24" s="639">
        <f>+landbouw!M8</f>
        <v>0</v>
      </c>
      <c r="O24" s="639">
        <f>+landbouw!N8</f>
        <v>0</v>
      </c>
      <c r="P24" s="639">
        <f>+landbouw!O8</f>
        <v>0</v>
      </c>
      <c r="Q24" s="640">
        <f>+landbouw!P8</f>
        <v>0</v>
      </c>
      <c r="R24" s="642">
        <f>SUM(C24:Q24)</f>
        <v>13126.685078030814</v>
      </c>
      <c r="S24" s="68"/>
    </row>
    <row r="25" spans="1:19" s="443" customFormat="1" ht="15" thickBot="1">
      <c r="A25" s="775" t="s">
        <v>847</v>
      </c>
      <c r="B25" s="941"/>
      <c r="C25" s="942">
        <f>IF(Onbekend_ele_kWh="---",0,Onbekend_ele_kWh)/1000+IF(REST_rest_ele_kWh="---",0,REST_rest_ele_kWh)/1000</f>
        <v>2473.1505599765001</v>
      </c>
      <c r="D25" s="942"/>
      <c r="E25" s="942">
        <f>IF(onbekend_gas_kWh="---",0,onbekend_gas_kWh)/1000+IF(REST_rest_gas_kWh="---",0,REST_rest_gas_kWh)/1000</f>
        <v>10492.278151430201</v>
      </c>
      <c r="F25" s="942"/>
      <c r="G25" s="942"/>
      <c r="H25" s="942"/>
      <c r="I25" s="942"/>
      <c r="J25" s="942"/>
      <c r="K25" s="942"/>
      <c r="L25" s="942"/>
      <c r="M25" s="942"/>
      <c r="N25" s="942"/>
      <c r="O25" s="942"/>
      <c r="P25" s="942"/>
      <c r="Q25" s="943"/>
      <c r="R25" s="642">
        <f>SUM(C25:Q25)</f>
        <v>12965.428711406701</v>
      </c>
      <c r="S25" s="68"/>
    </row>
    <row r="26" spans="1:19" s="443" customFormat="1" ht="15.75" thickBot="1">
      <c r="A26" s="645" t="s">
        <v>848</v>
      </c>
      <c r="B26" s="761"/>
      <c r="C26" s="756">
        <f>SUM(C24:C25)</f>
        <v>3208.1086339170888</v>
      </c>
      <c r="D26" s="756">
        <f t="shared" ref="D26:R26" si="2">SUM(D24:D25)</f>
        <v>7270.7142857142862</v>
      </c>
      <c r="E26" s="756">
        <f t="shared" si="2"/>
        <v>13080.691913758938</v>
      </c>
      <c r="F26" s="756">
        <f t="shared" si="2"/>
        <v>7.2578447487110465</v>
      </c>
      <c r="G26" s="756">
        <f t="shared" si="2"/>
        <v>2452.0146030795131</v>
      </c>
      <c r="H26" s="756">
        <f t="shared" si="2"/>
        <v>0</v>
      </c>
      <c r="I26" s="756">
        <f t="shared" si="2"/>
        <v>0</v>
      </c>
      <c r="J26" s="756">
        <f t="shared" si="2"/>
        <v>0</v>
      </c>
      <c r="K26" s="756">
        <f t="shared" si="2"/>
        <v>73.326508218979058</v>
      </c>
      <c r="L26" s="756">
        <f t="shared" si="2"/>
        <v>0</v>
      </c>
      <c r="M26" s="756">
        <f t="shared" si="2"/>
        <v>0</v>
      </c>
      <c r="N26" s="756">
        <f t="shared" si="2"/>
        <v>0</v>
      </c>
      <c r="O26" s="756">
        <f t="shared" si="2"/>
        <v>0</v>
      </c>
      <c r="P26" s="756">
        <f t="shared" si="2"/>
        <v>0</v>
      </c>
      <c r="Q26" s="756">
        <f t="shared" si="2"/>
        <v>0</v>
      </c>
      <c r="R26" s="756">
        <f t="shared" si="2"/>
        <v>26092.113789437513</v>
      </c>
      <c r="S26" s="68"/>
    </row>
    <row r="27" spans="1:19" s="443" customFormat="1" ht="17.25" thickTop="1" thickBot="1">
      <c r="A27" s="646" t="s">
        <v>109</v>
      </c>
      <c r="B27" s="748"/>
      <c r="C27" s="647">
        <f ca="1">C22+C16+C26</f>
        <v>230897.16478684259</v>
      </c>
      <c r="D27" s="647">
        <f t="shared" ref="D27:R27" ca="1" si="3">D22+D16+D26</f>
        <v>7270.7142857142862</v>
      </c>
      <c r="E27" s="647">
        <f t="shared" ca="1" si="3"/>
        <v>319378.64913850016</v>
      </c>
      <c r="F27" s="647">
        <f t="shared" si="3"/>
        <v>6046.7982499965319</v>
      </c>
      <c r="G27" s="647">
        <f t="shared" ca="1" si="3"/>
        <v>118298.80904711896</v>
      </c>
      <c r="H27" s="647">
        <f t="shared" si="3"/>
        <v>473293.20323046664</v>
      </c>
      <c r="I27" s="647">
        <f t="shared" si="3"/>
        <v>84997.842874141905</v>
      </c>
      <c r="J27" s="647">
        <f t="shared" si="3"/>
        <v>0</v>
      </c>
      <c r="K27" s="647">
        <f t="shared" si="3"/>
        <v>1557.3221549439395</v>
      </c>
      <c r="L27" s="647">
        <f t="shared" si="3"/>
        <v>0</v>
      </c>
      <c r="M27" s="647">
        <f t="shared" ca="1" si="3"/>
        <v>0</v>
      </c>
      <c r="N27" s="647">
        <f t="shared" si="3"/>
        <v>24951.663409474189</v>
      </c>
      <c r="O27" s="647">
        <f t="shared" ca="1" si="3"/>
        <v>29494.980832195928</v>
      </c>
      <c r="P27" s="647">
        <f t="shared" si="3"/>
        <v>110.99666666666667</v>
      </c>
      <c r="Q27" s="647">
        <f t="shared" si="3"/>
        <v>400.4</v>
      </c>
      <c r="R27" s="647">
        <f t="shared" ca="1" si="3"/>
        <v>1296698.544676062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22281.921018366946</v>
      </c>
      <c r="D40" s="639">
        <f ca="1">tertiair!C20</f>
        <v>0</v>
      </c>
      <c r="E40" s="639">
        <f ca="1">tertiair!D20</f>
        <v>18630.358756412883</v>
      </c>
      <c r="F40" s="639">
        <f>tertiair!E20</f>
        <v>227.62157173747113</v>
      </c>
      <c r="G40" s="639">
        <f ca="1">tertiair!F20</f>
        <v>5577.0595793512648</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46716.960925868567</v>
      </c>
    </row>
    <row r="41" spans="1:18">
      <c r="A41" s="766" t="s">
        <v>214</v>
      </c>
      <c r="B41" s="773"/>
      <c r="C41" s="639">
        <f ca="1">huishoudens!B12</f>
        <v>13184.722762711879</v>
      </c>
      <c r="D41" s="639">
        <f ca="1">huishoudens!C12</f>
        <v>0</v>
      </c>
      <c r="E41" s="639">
        <f>huishoudens!D12</f>
        <v>36606.479578603794</v>
      </c>
      <c r="F41" s="639">
        <f>huishoudens!E12</f>
        <v>529.29085601845998</v>
      </c>
      <c r="G41" s="639">
        <f>huishoudens!F12</f>
        <v>18979.984950297829</v>
      </c>
      <c r="H41" s="639">
        <f>huishoudens!G12</f>
        <v>0</v>
      </c>
      <c r="I41" s="639">
        <f>huishoudens!H12</f>
        <v>0</v>
      </c>
      <c r="J41" s="639">
        <f>huishoudens!I12</f>
        <v>0</v>
      </c>
      <c r="K41" s="639">
        <f>huishoudens!J12</f>
        <v>456.60062004857753</v>
      </c>
      <c r="L41" s="639">
        <f>huishoudens!K12</f>
        <v>0</v>
      </c>
      <c r="M41" s="639">
        <f>huishoudens!L12</f>
        <v>0</v>
      </c>
      <c r="N41" s="639">
        <f>huishoudens!M12</f>
        <v>0</v>
      </c>
      <c r="O41" s="639">
        <f>huishoudens!N12</f>
        <v>0</v>
      </c>
      <c r="P41" s="639">
        <f>huishoudens!O12</f>
        <v>0</v>
      </c>
      <c r="Q41" s="714">
        <f>huishoudens!P12</f>
        <v>0</v>
      </c>
      <c r="R41" s="794">
        <f t="shared" ca="1" si="4"/>
        <v>69757.078767680534</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12182.372713629517</v>
      </c>
      <c r="D43" s="639">
        <f ca="1">industrie!C22</f>
        <v>0</v>
      </c>
      <c r="E43" s="639">
        <f>industrie!D22</f>
        <v>6628.6906707447297</v>
      </c>
      <c r="F43" s="639">
        <f>industrie!E22</f>
        <v>103.73953052481404</v>
      </c>
      <c r="G43" s="639">
        <f>industrie!F22</f>
        <v>6374.0495869094402</v>
      </c>
      <c r="H43" s="639">
        <f>industrie!G22</f>
        <v>0</v>
      </c>
      <c r="I43" s="639">
        <f>industrie!H22</f>
        <v>0</v>
      </c>
      <c r="J43" s="639">
        <f>industrie!I22</f>
        <v>0</v>
      </c>
      <c r="K43" s="639">
        <f>industrie!J22</f>
        <v>68.733838892058401</v>
      </c>
      <c r="L43" s="639">
        <f>industrie!K22</f>
        <v>0</v>
      </c>
      <c r="M43" s="639">
        <f>industrie!L22</f>
        <v>0</v>
      </c>
      <c r="N43" s="639">
        <f>industrie!M22</f>
        <v>0</v>
      </c>
      <c r="O43" s="639">
        <f>industrie!N22</f>
        <v>0</v>
      </c>
      <c r="P43" s="639">
        <f>industrie!O22</f>
        <v>0</v>
      </c>
      <c r="Q43" s="714">
        <f>industrie!P22</f>
        <v>0</v>
      </c>
      <c r="R43" s="793">
        <f t="shared" ca="1" si="4"/>
        <v>25357.58634070056</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47649.016494708339</v>
      </c>
      <c r="D46" s="672">
        <f t="shared" ref="D46:Q46" ca="1" si="5">SUM(D39:D45)</f>
        <v>0</v>
      </c>
      <c r="E46" s="672">
        <f t="shared" ca="1" si="5"/>
        <v>61865.529005761404</v>
      </c>
      <c r="F46" s="672">
        <f t="shared" si="5"/>
        <v>860.65195828074513</v>
      </c>
      <c r="G46" s="672">
        <f t="shared" ca="1" si="5"/>
        <v>30931.094116558535</v>
      </c>
      <c r="H46" s="672">
        <f t="shared" si="5"/>
        <v>0</v>
      </c>
      <c r="I46" s="672">
        <f t="shared" si="5"/>
        <v>0</v>
      </c>
      <c r="J46" s="672">
        <f t="shared" si="5"/>
        <v>0</v>
      </c>
      <c r="K46" s="672">
        <f t="shared" si="5"/>
        <v>525.33445894063595</v>
      </c>
      <c r="L46" s="672">
        <f t="shared" si="5"/>
        <v>0</v>
      </c>
      <c r="M46" s="672">
        <f t="shared" ca="1" si="5"/>
        <v>0</v>
      </c>
      <c r="N46" s="672">
        <f t="shared" si="5"/>
        <v>0</v>
      </c>
      <c r="O46" s="672">
        <f t="shared" ca="1" si="5"/>
        <v>0</v>
      </c>
      <c r="P46" s="672">
        <f t="shared" si="5"/>
        <v>0</v>
      </c>
      <c r="Q46" s="672">
        <f t="shared" si="5"/>
        <v>0</v>
      </c>
      <c r="R46" s="672">
        <f ca="1">SUM(R39:R45)</f>
        <v>141831.62603424967</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4.2339913239429379</v>
      </c>
      <c r="D49" s="639">
        <f ca="1">transport!C58</f>
        <v>0</v>
      </c>
      <c r="E49" s="639">
        <f>transport!D58</f>
        <v>0</v>
      </c>
      <c r="F49" s="639">
        <f>transport!E58</f>
        <v>0</v>
      </c>
      <c r="G49" s="639">
        <f>transport!F58</f>
        <v>0</v>
      </c>
      <c r="H49" s="639">
        <f>transport!G58</f>
        <v>1077.2099916883149</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1081.4439830122578</v>
      </c>
    </row>
    <row r="50" spans="1:18">
      <c r="A50" s="769" t="s">
        <v>296</v>
      </c>
      <c r="B50" s="779"/>
      <c r="C50" s="948">
        <f ca="1">transport!B18</f>
        <v>5.3576320521937362</v>
      </c>
      <c r="D50" s="948">
        <f>transport!C18</f>
        <v>0</v>
      </c>
      <c r="E50" s="948">
        <f>transport!D18</f>
        <v>6.6583536363187523</v>
      </c>
      <c r="F50" s="948">
        <f>transport!E18</f>
        <v>510.32371371051028</v>
      </c>
      <c r="G50" s="948">
        <f>transport!F18</f>
        <v>0</v>
      </c>
      <c r="H50" s="948">
        <f>transport!G18</f>
        <v>125292.07527084628</v>
      </c>
      <c r="I50" s="948">
        <f>transport!H18</f>
        <v>21164.462875661335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146978.87784590662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9.591623376136674</v>
      </c>
      <c r="D52" s="672">
        <f t="shared" ref="D52:Q52" ca="1" si="6">SUM(D48:D51)</f>
        <v>0</v>
      </c>
      <c r="E52" s="672">
        <f t="shared" si="6"/>
        <v>6.6583536363187523</v>
      </c>
      <c r="F52" s="672">
        <f t="shared" si="6"/>
        <v>510.32371371051028</v>
      </c>
      <c r="G52" s="672">
        <f t="shared" si="6"/>
        <v>0</v>
      </c>
      <c r="H52" s="672">
        <f t="shared" si="6"/>
        <v>126369.2852625346</v>
      </c>
      <c r="I52" s="672">
        <f t="shared" si="6"/>
        <v>21164.462875661335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148060.32182891888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153.83734036664035</v>
      </c>
      <c r="D54" s="948">
        <f ca="1">+landbouw!C12</f>
        <v>0</v>
      </c>
      <c r="E54" s="948">
        <f>+landbouw!D12</f>
        <v>522.85957999040488</v>
      </c>
      <c r="F54" s="948">
        <f>+landbouw!E12</f>
        <v>1.6475307579574077</v>
      </c>
      <c r="G54" s="948">
        <f>+landbouw!F12</f>
        <v>654.68789902223</v>
      </c>
      <c r="H54" s="948">
        <f>+landbouw!G12</f>
        <v>0</v>
      </c>
      <c r="I54" s="948">
        <f>+landbouw!H12</f>
        <v>0</v>
      </c>
      <c r="J54" s="948">
        <f>+landbouw!I12</f>
        <v>0</v>
      </c>
      <c r="K54" s="948">
        <f>+landbouw!J12</f>
        <v>25.957583909518586</v>
      </c>
      <c r="L54" s="948">
        <f>+landbouw!K12</f>
        <v>0</v>
      </c>
      <c r="M54" s="948">
        <f>+landbouw!L12</f>
        <v>0</v>
      </c>
      <c r="N54" s="948">
        <f>+landbouw!M12</f>
        <v>0</v>
      </c>
      <c r="O54" s="948">
        <f>+landbouw!N12</f>
        <v>0</v>
      </c>
      <c r="P54" s="948">
        <f>+landbouw!O12</f>
        <v>0</v>
      </c>
      <c r="Q54" s="949">
        <f>+landbouw!P12</f>
        <v>0</v>
      </c>
      <c r="R54" s="671">
        <f ca="1">SUM(C54:Q54)</f>
        <v>1358.9899340467514</v>
      </c>
    </row>
    <row r="55" spans="1:18" ht="15" thickBot="1">
      <c r="A55" s="769" t="s">
        <v>847</v>
      </c>
      <c r="B55" s="779"/>
      <c r="C55" s="948">
        <f ca="1">C25*'EF ele_warmte'!B12</f>
        <v>517.6661335702355</v>
      </c>
      <c r="D55" s="948"/>
      <c r="E55" s="948">
        <f>E25*EF_CO2_aardgas</f>
        <v>2119.4401865889008</v>
      </c>
      <c r="F55" s="948"/>
      <c r="G55" s="948"/>
      <c r="H55" s="948"/>
      <c r="I55" s="948"/>
      <c r="J55" s="948"/>
      <c r="K55" s="948"/>
      <c r="L55" s="948"/>
      <c r="M55" s="948"/>
      <c r="N55" s="948"/>
      <c r="O55" s="948"/>
      <c r="P55" s="948"/>
      <c r="Q55" s="949"/>
      <c r="R55" s="671">
        <f ca="1">SUM(C55:Q55)</f>
        <v>2637.1063201591364</v>
      </c>
    </row>
    <row r="56" spans="1:18" ht="15.75" thickBot="1">
      <c r="A56" s="767" t="s">
        <v>848</v>
      </c>
      <c r="B56" s="780"/>
      <c r="C56" s="672">
        <f ca="1">SUM(C54:C55)</f>
        <v>671.50347393687582</v>
      </c>
      <c r="D56" s="672">
        <f t="shared" ref="D56:Q56" ca="1" si="7">SUM(D54:D55)</f>
        <v>0</v>
      </c>
      <c r="E56" s="672">
        <f t="shared" si="7"/>
        <v>2642.2997665793055</v>
      </c>
      <c r="F56" s="672">
        <f t="shared" si="7"/>
        <v>1.6475307579574077</v>
      </c>
      <c r="G56" s="672">
        <f t="shared" si="7"/>
        <v>654.68789902223</v>
      </c>
      <c r="H56" s="672">
        <f t="shared" si="7"/>
        <v>0</v>
      </c>
      <c r="I56" s="672">
        <f t="shared" si="7"/>
        <v>0</v>
      </c>
      <c r="J56" s="672">
        <f t="shared" si="7"/>
        <v>0</v>
      </c>
      <c r="K56" s="672">
        <f t="shared" si="7"/>
        <v>25.957583909518586</v>
      </c>
      <c r="L56" s="672">
        <f t="shared" si="7"/>
        <v>0</v>
      </c>
      <c r="M56" s="672">
        <f t="shared" si="7"/>
        <v>0</v>
      </c>
      <c r="N56" s="672">
        <f t="shared" si="7"/>
        <v>0</v>
      </c>
      <c r="O56" s="672">
        <f t="shared" si="7"/>
        <v>0</v>
      </c>
      <c r="P56" s="672">
        <f t="shared" si="7"/>
        <v>0</v>
      </c>
      <c r="Q56" s="673">
        <f t="shared" si="7"/>
        <v>0</v>
      </c>
      <c r="R56" s="674">
        <f ca="1">SUM(R54:R55)</f>
        <v>3996.0962542058878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48330.111592021356</v>
      </c>
      <c r="D61" s="680">
        <f t="shared" ref="D61:Q61" ca="1" si="8">D46+D52+D56</f>
        <v>0</v>
      </c>
      <c r="E61" s="680">
        <f t="shared" ca="1" si="8"/>
        <v>64514.48712597703</v>
      </c>
      <c r="F61" s="680">
        <f t="shared" si="8"/>
        <v>1372.6232027492129</v>
      </c>
      <c r="G61" s="680">
        <f t="shared" ca="1" si="8"/>
        <v>31585.782015580764</v>
      </c>
      <c r="H61" s="680">
        <f t="shared" si="8"/>
        <v>126369.2852625346</v>
      </c>
      <c r="I61" s="680">
        <f t="shared" si="8"/>
        <v>21164.462875661335</v>
      </c>
      <c r="J61" s="680">
        <f t="shared" si="8"/>
        <v>0</v>
      </c>
      <c r="K61" s="680">
        <f t="shared" si="8"/>
        <v>551.29204285015453</v>
      </c>
      <c r="L61" s="680">
        <f t="shared" si="8"/>
        <v>0</v>
      </c>
      <c r="M61" s="680">
        <f t="shared" ca="1" si="8"/>
        <v>0</v>
      </c>
      <c r="N61" s="680">
        <f t="shared" si="8"/>
        <v>0</v>
      </c>
      <c r="O61" s="680">
        <f t="shared" ca="1" si="8"/>
        <v>0</v>
      </c>
      <c r="P61" s="680">
        <f t="shared" si="8"/>
        <v>0</v>
      </c>
      <c r="Q61" s="680">
        <f t="shared" si="8"/>
        <v>0</v>
      </c>
      <c r="R61" s="680">
        <f ca="1">R46+R52+R56</f>
        <v>293888.04411737446</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0.20931444366862745</v>
      </c>
      <c r="D63" s="724">
        <f t="shared" ca="1" si="9"/>
        <v>0</v>
      </c>
      <c r="E63" s="950">
        <f t="shared" ca="1" si="9"/>
        <v>0.20199999999999999</v>
      </c>
      <c r="F63" s="724">
        <f t="shared" si="9"/>
        <v>0.22700000000000001</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2648.7481688010957</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4470.6288713385302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5089.5</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5987.6470588235297</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12208.877040139625</v>
      </c>
      <c r="C78" s="695">
        <f>SUM(C72:C77)</f>
        <v>0</v>
      </c>
      <c r="D78" s="696">
        <f t="shared" ref="D78:H78" si="10">SUM(D76:D77)</f>
        <v>0</v>
      </c>
      <c r="E78" s="696">
        <f t="shared" si="10"/>
        <v>0</v>
      </c>
      <c r="F78" s="696">
        <f t="shared" si="10"/>
        <v>0</v>
      </c>
      <c r="G78" s="696">
        <f t="shared" si="10"/>
        <v>0</v>
      </c>
      <c r="H78" s="696">
        <f t="shared" si="10"/>
        <v>0</v>
      </c>
      <c r="I78" s="696">
        <f>SUM(I76:I77)</f>
        <v>0</v>
      </c>
      <c r="J78" s="696">
        <f>SUM(J76:J77)</f>
        <v>5987.6470588235297</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7270.7142857142862</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8553.7815126050427</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7270.7142857142862</v>
      </c>
      <c r="C90" s="695">
        <f>SUM(C87:C89)</f>
        <v>0</v>
      </c>
      <c r="D90" s="695">
        <f t="shared" ref="D90:H90" si="12">SUM(D87:D89)</f>
        <v>0</v>
      </c>
      <c r="E90" s="695">
        <f t="shared" si="12"/>
        <v>0</v>
      </c>
      <c r="F90" s="695">
        <f t="shared" si="12"/>
        <v>0</v>
      </c>
      <c r="G90" s="695">
        <f t="shared" si="12"/>
        <v>0</v>
      </c>
      <c r="H90" s="695">
        <f t="shared" si="12"/>
        <v>0</v>
      </c>
      <c r="I90" s="695">
        <f>SUM(I87:I89)</f>
        <v>0</v>
      </c>
      <c r="J90" s="695">
        <f>SUM(J87:J89)</f>
        <v>8553.7815126050427</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62990.028454916588</v>
      </c>
      <c r="C4" s="447">
        <f>huishoudens!C8</f>
        <v>0</v>
      </c>
      <c r="D4" s="447">
        <f>huishoudens!D8</f>
        <v>181220.19593368215</v>
      </c>
      <c r="E4" s="447">
        <f>huishoudens!E8</f>
        <v>2331.6777798170042</v>
      </c>
      <c r="F4" s="447">
        <f>huishoudens!F8</f>
        <v>71086.085956171635</v>
      </c>
      <c r="G4" s="447">
        <f>huishoudens!G8</f>
        <v>0</v>
      </c>
      <c r="H4" s="447">
        <f>huishoudens!H8</f>
        <v>0</v>
      </c>
      <c r="I4" s="447">
        <f>huishoudens!I8</f>
        <v>0</v>
      </c>
      <c r="J4" s="447">
        <f>huishoudens!J8</f>
        <v>1289.8322600242304</v>
      </c>
      <c r="K4" s="447">
        <f>huishoudens!K8</f>
        <v>0</v>
      </c>
      <c r="L4" s="447">
        <f>huishoudens!L8</f>
        <v>0</v>
      </c>
      <c r="M4" s="447">
        <f>huishoudens!M8</f>
        <v>0</v>
      </c>
      <c r="N4" s="447">
        <f>huishoudens!N8</f>
        <v>21392.405494348324</v>
      </c>
      <c r="O4" s="447">
        <f>huishoudens!O8</f>
        <v>110.99666666666667</v>
      </c>
      <c r="P4" s="448">
        <f>huishoudens!P8</f>
        <v>343.2</v>
      </c>
      <c r="Q4" s="449">
        <f>SUM(B4:P4)</f>
        <v>340764.42254562653</v>
      </c>
    </row>
    <row r="5" spans="1:17">
      <c r="A5" s="446" t="s">
        <v>149</v>
      </c>
      <c r="B5" s="447">
        <f ca="1">tertiair!B16</f>
        <v>103467.19778568516</v>
      </c>
      <c r="C5" s="447">
        <f ca="1">tertiair!C16</f>
        <v>0</v>
      </c>
      <c r="D5" s="447">
        <f ca="1">tertiair!D16</f>
        <v>92229.498794123181</v>
      </c>
      <c r="E5" s="447">
        <f>tertiair!E16</f>
        <v>1002.7382014866569</v>
      </c>
      <c r="F5" s="447">
        <f ca="1">tertiair!F16</f>
        <v>20887.863593075897</v>
      </c>
      <c r="G5" s="447">
        <f>tertiair!G16</f>
        <v>0</v>
      </c>
      <c r="H5" s="447">
        <f>tertiair!H16</f>
        <v>0</v>
      </c>
      <c r="I5" s="447">
        <f>tertiair!I16</f>
        <v>0</v>
      </c>
      <c r="J5" s="447">
        <f>tertiair!J16</f>
        <v>0</v>
      </c>
      <c r="K5" s="447">
        <f>tertiair!K16</f>
        <v>0</v>
      </c>
      <c r="L5" s="447">
        <f ca="1">tertiair!L16</f>
        <v>0</v>
      </c>
      <c r="M5" s="447">
        <f>tertiair!M16</f>
        <v>0</v>
      </c>
      <c r="N5" s="447">
        <f ca="1">tertiair!N16</f>
        <v>5389.9904200206038</v>
      </c>
      <c r="O5" s="447">
        <f>tertiair!O16</f>
        <v>0</v>
      </c>
      <c r="P5" s="448">
        <f>tertiair!P16</f>
        <v>57.2</v>
      </c>
      <c r="Q5" s="446">
        <f t="shared" ref="Q5:Q14" ca="1" si="0">SUM(B5:P5)</f>
        <v>223034.48879439148</v>
      </c>
    </row>
    <row r="6" spans="1:17">
      <c r="A6" s="446" t="s">
        <v>187</v>
      </c>
      <c r="B6" s="447">
        <f>'openbare verlichting'!B8</f>
        <v>2984.7060000000001</v>
      </c>
      <c r="C6" s="447"/>
      <c r="D6" s="447"/>
      <c r="E6" s="447"/>
      <c r="F6" s="447"/>
      <c r="G6" s="447"/>
      <c r="H6" s="447"/>
      <c r="I6" s="447"/>
      <c r="J6" s="447"/>
      <c r="K6" s="447"/>
      <c r="L6" s="447"/>
      <c r="M6" s="447"/>
      <c r="N6" s="447"/>
      <c r="O6" s="447"/>
      <c r="P6" s="448"/>
      <c r="Q6" s="446">
        <f t="shared" si="0"/>
        <v>2984.7060000000001</v>
      </c>
    </row>
    <row r="7" spans="1:17">
      <c r="A7" s="446" t="s">
        <v>105</v>
      </c>
      <c r="B7" s="447">
        <f>landbouw!B8</f>
        <v>734.95807394058897</v>
      </c>
      <c r="C7" s="447">
        <f>landbouw!C8</f>
        <v>7270.7142857142862</v>
      </c>
      <c r="D7" s="447">
        <f>landbouw!D8</f>
        <v>2588.413762328737</v>
      </c>
      <c r="E7" s="447">
        <f>landbouw!E8</f>
        <v>7.2578447487110465</v>
      </c>
      <c r="F7" s="447">
        <f>landbouw!F8</f>
        <v>2452.0146030795131</v>
      </c>
      <c r="G7" s="447">
        <f>landbouw!G8</f>
        <v>0</v>
      </c>
      <c r="H7" s="447">
        <f>landbouw!H8</f>
        <v>0</v>
      </c>
      <c r="I7" s="447">
        <f>landbouw!I8</f>
        <v>0</v>
      </c>
      <c r="J7" s="447">
        <f>landbouw!J8</f>
        <v>73.326508218979058</v>
      </c>
      <c r="K7" s="447">
        <f>landbouw!K8</f>
        <v>0</v>
      </c>
      <c r="L7" s="447">
        <f>landbouw!L8</f>
        <v>0</v>
      </c>
      <c r="M7" s="447">
        <f>landbouw!M8</f>
        <v>0</v>
      </c>
      <c r="N7" s="447">
        <f>landbouw!N8</f>
        <v>0</v>
      </c>
      <c r="O7" s="447">
        <f>landbouw!O8</f>
        <v>0</v>
      </c>
      <c r="P7" s="448">
        <f>landbouw!P8</f>
        <v>0</v>
      </c>
      <c r="Q7" s="446">
        <f t="shared" si="0"/>
        <v>13126.685078030814</v>
      </c>
    </row>
    <row r="8" spans="1:17">
      <c r="A8" s="446" t="s">
        <v>640</v>
      </c>
      <c r="B8" s="447">
        <f>industrie!B18</f>
        <v>58201.299920400284</v>
      </c>
      <c r="C8" s="447">
        <f>industrie!C18</f>
        <v>0</v>
      </c>
      <c r="D8" s="447">
        <f>industrie!D18</f>
        <v>32815.300350221434</v>
      </c>
      <c r="E8" s="447">
        <f>industrie!E18</f>
        <v>457.00233711371823</v>
      </c>
      <c r="F8" s="447">
        <f>industrie!F18</f>
        <v>23872.84489479191</v>
      </c>
      <c r="G8" s="447">
        <f>industrie!G18</f>
        <v>0</v>
      </c>
      <c r="H8" s="447">
        <f>industrie!H18</f>
        <v>0</v>
      </c>
      <c r="I8" s="447">
        <f>industrie!I18</f>
        <v>0</v>
      </c>
      <c r="J8" s="447">
        <f>industrie!J18</f>
        <v>194.16338670072994</v>
      </c>
      <c r="K8" s="447">
        <f>industrie!K18</f>
        <v>0</v>
      </c>
      <c r="L8" s="447">
        <f>industrie!L18</f>
        <v>0</v>
      </c>
      <c r="M8" s="447">
        <f>industrie!M18</f>
        <v>0</v>
      </c>
      <c r="N8" s="447">
        <f>industrie!N18</f>
        <v>2712.5849178270018</v>
      </c>
      <c r="O8" s="447">
        <f>industrie!O18</f>
        <v>0</v>
      </c>
      <c r="P8" s="448">
        <f>industrie!P18</f>
        <v>0</v>
      </c>
      <c r="Q8" s="446">
        <f t="shared" si="0"/>
        <v>118253.19580705508</v>
      </c>
    </row>
    <row r="9" spans="1:17" s="452" customFormat="1">
      <c r="A9" s="450" t="s">
        <v>560</v>
      </c>
      <c r="B9" s="451">
        <f>transport!B14</f>
        <v>25.596093409949191</v>
      </c>
      <c r="C9" s="451">
        <f>transport!C14</f>
        <v>0</v>
      </c>
      <c r="D9" s="451">
        <f>transport!D14</f>
        <v>32.962146714449268</v>
      </c>
      <c r="E9" s="451">
        <f>transport!E14</f>
        <v>2248.1220868304417</v>
      </c>
      <c r="F9" s="451">
        <f>transport!F14</f>
        <v>0</v>
      </c>
      <c r="G9" s="451">
        <f>transport!G14</f>
        <v>469258.70887957409</v>
      </c>
      <c r="H9" s="451">
        <f>transport!H14</f>
        <v>84997.842874141905</v>
      </c>
      <c r="I9" s="451">
        <f>transport!I14</f>
        <v>0</v>
      </c>
      <c r="J9" s="451">
        <f>transport!J14</f>
        <v>0</v>
      </c>
      <c r="K9" s="451">
        <f>transport!K14</f>
        <v>0</v>
      </c>
      <c r="L9" s="451">
        <f>transport!L14</f>
        <v>0</v>
      </c>
      <c r="M9" s="451">
        <f>transport!M14</f>
        <v>24773.343056074405</v>
      </c>
      <c r="N9" s="451">
        <f>transport!N14</f>
        <v>0</v>
      </c>
      <c r="O9" s="451">
        <f>transport!O14</f>
        <v>0</v>
      </c>
      <c r="P9" s="451">
        <f>transport!P14</f>
        <v>0</v>
      </c>
      <c r="Q9" s="450">
        <f>SUM(B9:P9)</f>
        <v>581336.57513674523</v>
      </c>
    </row>
    <row r="10" spans="1:17">
      <c r="A10" s="446" t="s">
        <v>550</v>
      </c>
      <c r="B10" s="447">
        <f>transport!B54</f>
        <v>20.227898513520206</v>
      </c>
      <c r="C10" s="447">
        <f>transport!C54</f>
        <v>0</v>
      </c>
      <c r="D10" s="447">
        <f>transport!D54</f>
        <v>0</v>
      </c>
      <c r="E10" s="447">
        <f>transport!E54</f>
        <v>0</v>
      </c>
      <c r="F10" s="447">
        <f>transport!F54</f>
        <v>0</v>
      </c>
      <c r="G10" s="447">
        <f>transport!G54</f>
        <v>4034.4943508925644</v>
      </c>
      <c r="H10" s="447">
        <f>transport!H54</f>
        <v>0</v>
      </c>
      <c r="I10" s="447">
        <f>transport!I54</f>
        <v>0</v>
      </c>
      <c r="J10" s="447">
        <f>transport!J54</f>
        <v>0</v>
      </c>
      <c r="K10" s="447">
        <f>transport!K54</f>
        <v>0</v>
      </c>
      <c r="L10" s="447">
        <f>transport!L54</f>
        <v>0</v>
      </c>
      <c r="M10" s="447">
        <f>transport!M54</f>
        <v>178.32035339978492</v>
      </c>
      <c r="N10" s="447">
        <f>transport!N54</f>
        <v>0</v>
      </c>
      <c r="O10" s="447">
        <f>transport!O54</f>
        <v>0</v>
      </c>
      <c r="P10" s="448">
        <f>transport!P54</f>
        <v>0</v>
      </c>
      <c r="Q10" s="446">
        <f t="shared" si="0"/>
        <v>4233.04260280587</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2473.1505599765001</v>
      </c>
      <c r="C14" s="454"/>
      <c r="D14" s="454">
        <f>'SEAP template'!E25</f>
        <v>10492.278151430201</v>
      </c>
      <c r="E14" s="454"/>
      <c r="F14" s="454"/>
      <c r="G14" s="454"/>
      <c r="H14" s="454"/>
      <c r="I14" s="454"/>
      <c r="J14" s="454"/>
      <c r="K14" s="454"/>
      <c r="L14" s="454"/>
      <c r="M14" s="454"/>
      <c r="N14" s="454"/>
      <c r="O14" s="454"/>
      <c r="P14" s="455"/>
      <c r="Q14" s="446">
        <f t="shared" si="0"/>
        <v>12965.428711406701</v>
      </c>
    </row>
    <row r="15" spans="1:17" s="459" customFormat="1">
      <c r="A15" s="456" t="s">
        <v>554</v>
      </c>
      <c r="B15" s="457">
        <f ca="1">SUM(B4:B14)</f>
        <v>230897.16478684259</v>
      </c>
      <c r="C15" s="457">
        <f t="shared" ref="C15:Q15" ca="1" si="1">SUM(C4:C14)</f>
        <v>7270.7142857142862</v>
      </c>
      <c r="D15" s="457">
        <f t="shared" ca="1" si="1"/>
        <v>319378.64913850016</v>
      </c>
      <c r="E15" s="457">
        <f t="shared" si="1"/>
        <v>6046.7982499965328</v>
      </c>
      <c r="F15" s="457">
        <f t="shared" ca="1" si="1"/>
        <v>118298.80904711896</v>
      </c>
      <c r="G15" s="457">
        <f t="shared" si="1"/>
        <v>473293.20323046664</v>
      </c>
      <c r="H15" s="457">
        <f t="shared" si="1"/>
        <v>84997.842874141905</v>
      </c>
      <c r="I15" s="457">
        <f t="shared" si="1"/>
        <v>0</v>
      </c>
      <c r="J15" s="457">
        <f t="shared" si="1"/>
        <v>1557.3221549439395</v>
      </c>
      <c r="K15" s="457">
        <f t="shared" si="1"/>
        <v>0</v>
      </c>
      <c r="L15" s="457">
        <f t="shared" ca="1" si="1"/>
        <v>0</v>
      </c>
      <c r="M15" s="457">
        <f t="shared" si="1"/>
        <v>24951.663409474189</v>
      </c>
      <c r="N15" s="457">
        <f t="shared" ca="1" si="1"/>
        <v>29494.980832195928</v>
      </c>
      <c r="O15" s="457">
        <f t="shared" si="1"/>
        <v>110.99666666666667</v>
      </c>
      <c r="P15" s="457">
        <f t="shared" si="1"/>
        <v>400.4</v>
      </c>
      <c r="Q15" s="457">
        <f t="shared" ca="1" si="1"/>
        <v>1296698.5446760617</v>
      </c>
    </row>
    <row r="17" spans="1:17">
      <c r="A17" s="460" t="s">
        <v>555</v>
      </c>
      <c r="B17" s="729">
        <f ca="1">huishoudens!B10</f>
        <v>0.20931444366862745</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13184.722762711879</v>
      </c>
      <c r="C22" s="447">
        <f t="shared" ref="C22:C32" ca="1" si="3">C4*$C$17</f>
        <v>0</v>
      </c>
      <c r="D22" s="447">
        <f t="shared" ref="D22:D32" si="4">D4*$D$17</f>
        <v>36606.479578603794</v>
      </c>
      <c r="E22" s="447">
        <f t="shared" ref="E22:E32" si="5">E4*$E$17</f>
        <v>529.29085601845998</v>
      </c>
      <c r="F22" s="447">
        <f t="shared" ref="F22:F32" si="6">F4*$F$17</f>
        <v>18979.984950297829</v>
      </c>
      <c r="G22" s="447">
        <f t="shared" ref="G22:G32" si="7">G4*$G$17</f>
        <v>0</v>
      </c>
      <c r="H22" s="447">
        <f t="shared" ref="H22:H32" si="8">H4*$H$17</f>
        <v>0</v>
      </c>
      <c r="I22" s="447">
        <f t="shared" ref="I22:I32" si="9">I4*$I$17</f>
        <v>0</v>
      </c>
      <c r="J22" s="447">
        <f t="shared" ref="J22:J32" si="10">J4*$J$17</f>
        <v>456.60062004857753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69757.078767680534</v>
      </c>
    </row>
    <row r="23" spans="1:17">
      <c r="A23" s="446" t="s">
        <v>149</v>
      </c>
      <c r="B23" s="447">
        <f t="shared" ca="1" si="2"/>
        <v>21657.178942462531</v>
      </c>
      <c r="C23" s="447">
        <f t="shared" ca="1" si="3"/>
        <v>0</v>
      </c>
      <c r="D23" s="447">
        <f t="shared" ca="1" si="4"/>
        <v>18630.358756412883</v>
      </c>
      <c r="E23" s="447">
        <f t="shared" si="5"/>
        <v>227.62157173747113</v>
      </c>
      <c r="F23" s="447">
        <f t="shared" ca="1" si="6"/>
        <v>5577.0595793512648</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46092.218849964149</v>
      </c>
    </row>
    <row r="24" spans="1:17">
      <c r="A24" s="446" t="s">
        <v>187</v>
      </c>
      <c r="B24" s="447">
        <f t="shared" ca="1" si="2"/>
        <v>624.74207590441438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624.74207590441438</v>
      </c>
    </row>
    <row r="25" spans="1:17">
      <c r="A25" s="446" t="s">
        <v>105</v>
      </c>
      <c r="B25" s="447">
        <f t="shared" ca="1" si="2"/>
        <v>153.83734036664035</v>
      </c>
      <c r="C25" s="447">
        <f t="shared" ca="1" si="3"/>
        <v>0</v>
      </c>
      <c r="D25" s="447">
        <f t="shared" si="4"/>
        <v>522.85957999040488</v>
      </c>
      <c r="E25" s="447">
        <f t="shared" si="5"/>
        <v>1.6475307579574077</v>
      </c>
      <c r="F25" s="447">
        <f t="shared" si="6"/>
        <v>654.68789902223</v>
      </c>
      <c r="G25" s="447">
        <f t="shared" si="7"/>
        <v>0</v>
      </c>
      <c r="H25" s="447">
        <f t="shared" si="8"/>
        <v>0</v>
      </c>
      <c r="I25" s="447">
        <f t="shared" si="9"/>
        <v>0</v>
      </c>
      <c r="J25" s="447">
        <f t="shared" si="10"/>
        <v>25.957583909518586</v>
      </c>
      <c r="K25" s="447">
        <f t="shared" si="11"/>
        <v>0</v>
      </c>
      <c r="L25" s="447">
        <f t="shared" si="12"/>
        <v>0</v>
      </c>
      <c r="M25" s="447">
        <f t="shared" si="13"/>
        <v>0</v>
      </c>
      <c r="N25" s="447">
        <f t="shared" si="14"/>
        <v>0</v>
      </c>
      <c r="O25" s="447">
        <f t="shared" si="15"/>
        <v>0</v>
      </c>
      <c r="P25" s="448">
        <f t="shared" si="16"/>
        <v>0</v>
      </c>
      <c r="Q25" s="446">
        <f t="shared" ca="1" si="17"/>
        <v>1358.9899340467514</v>
      </c>
    </row>
    <row r="26" spans="1:17">
      <c r="A26" s="446" t="s">
        <v>640</v>
      </c>
      <c r="B26" s="447">
        <f t="shared" ca="1" si="2"/>
        <v>12182.372713629517</v>
      </c>
      <c r="C26" s="447">
        <f t="shared" ca="1" si="3"/>
        <v>0</v>
      </c>
      <c r="D26" s="447">
        <f t="shared" si="4"/>
        <v>6628.6906707447297</v>
      </c>
      <c r="E26" s="447">
        <f t="shared" si="5"/>
        <v>103.73953052481404</v>
      </c>
      <c r="F26" s="447">
        <f t="shared" si="6"/>
        <v>6374.0495869094402</v>
      </c>
      <c r="G26" s="447">
        <f t="shared" si="7"/>
        <v>0</v>
      </c>
      <c r="H26" s="447">
        <f t="shared" si="8"/>
        <v>0</v>
      </c>
      <c r="I26" s="447">
        <f t="shared" si="9"/>
        <v>0</v>
      </c>
      <c r="J26" s="447">
        <f t="shared" si="10"/>
        <v>68.733838892058401</v>
      </c>
      <c r="K26" s="447">
        <f t="shared" si="11"/>
        <v>0</v>
      </c>
      <c r="L26" s="447">
        <f t="shared" si="12"/>
        <v>0</v>
      </c>
      <c r="M26" s="447">
        <f t="shared" si="13"/>
        <v>0</v>
      </c>
      <c r="N26" s="447">
        <f t="shared" si="14"/>
        <v>0</v>
      </c>
      <c r="O26" s="447">
        <f t="shared" si="15"/>
        <v>0</v>
      </c>
      <c r="P26" s="448">
        <f t="shared" si="16"/>
        <v>0</v>
      </c>
      <c r="Q26" s="446">
        <f t="shared" ca="1" si="17"/>
        <v>25357.58634070056</v>
      </c>
    </row>
    <row r="27" spans="1:17" s="452" customFormat="1">
      <c r="A27" s="450" t="s">
        <v>560</v>
      </c>
      <c r="B27" s="723">
        <f t="shared" ca="1" si="2"/>
        <v>5.3576320521937362</v>
      </c>
      <c r="C27" s="451">
        <f t="shared" ca="1" si="3"/>
        <v>0</v>
      </c>
      <c r="D27" s="451">
        <f t="shared" si="4"/>
        <v>6.6583536363187523</v>
      </c>
      <c r="E27" s="451">
        <f t="shared" si="5"/>
        <v>510.32371371051028</v>
      </c>
      <c r="F27" s="451">
        <f t="shared" si="6"/>
        <v>0</v>
      </c>
      <c r="G27" s="451">
        <f t="shared" si="7"/>
        <v>125292.07527084628</v>
      </c>
      <c r="H27" s="451">
        <f t="shared" si="8"/>
        <v>21164.462875661335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146978.87784590662</v>
      </c>
    </row>
    <row r="28" spans="1:17">
      <c r="A28" s="446" t="s">
        <v>550</v>
      </c>
      <c r="B28" s="447">
        <f t="shared" ca="1" si="2"/>
        <v>4.2339913239429379</v>
      </c>
      <c r="C28" s="447">
        <f t="shared" ca="1" si="3"/>
        <v>0</v>
      </c>
      <c r="D28" s="447">
        <f t="shared" si="4"/>
        <v>0</v>
      </c>
      <c r="E28" s="447">
        <f t="shared" si="5"/>
        <v>0</v>
      </c>
      <c r="F28" s="447">
        <f t="shared" si="6"/>
        <v>0</v>
      </c>
      <c r="G28" s="447">
        <f t="shared" si="7"/>
        <v>1077.2099916883149</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1081.4439830122578</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517.6661335702355</v>
      </c>
      <c r="C32" s="447">
        <f t="shared" ca="1" si="3"/>
        <v>0</v>
      </c>
      <c r="D32" s="447">
        <f t="shared" si="4"/>
        <v>2119.4401865889008</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2637.1063201591364</v>
      </c>
    </row>
    <row r="33" spans="1:17" s="459" customFormat="1">
      <c r="A33" s="456" t="s">
        <v>554</v>
      </c>
      <c r="B33" s="457">
        <f ca="1">SUM(B22:B32)</f>
        <v>48330.111592021349</v>
      </c>
      <c r="C33" s="457">
        <f t="shared" ref="C33:Q33" ca="1" si="18">SUM(C22:C32)</f>
        <v>0</v>
      </c>
      <c r="D33" s="457">
        <f t="shared" ca="1" si="18"/>
        <v>64514.48712597703</v>
      </c>
      <c r="E33" s="457">
        <f t="shared" si="18"/>
        <v>1372.6232027492129</v>
      </c>
      <c r="F33" s="457">
        <f t="shared" ca="1" si="18"/>
        <v>31585.782015580764</v>
      </c>
      <c r="G33" s="457">
        <f t="shared" si="18"/>
        <v>126369.2852625346</v>
      </c>
      <c r="H33" s="457">
        <f t="shared" si="18"/>
        <v>21164.462875661335</v>
      </c>
      <c r="I33" s="457">
        <f t="shared" si="18"/>
        <v>0</v>
      </c>
      <c r="J33" s="457">
        <f t="shared" si="18"/>
        <v>551.29204285015453</v>
      </c>
      <c r="K33" s="457">
        <f t="shared" si="18"/>
        <v>0</v>
      </c>
      <c r="L33" s="457">
        <f t="shared" ca="1" si="18"/>
        <v>0</v>
      </c>
      <c r="M33" s="457">
        <f t="shared" si="18"/>
        <v>0</v>
      </c>
      <c r="N33" s="457">
        <f t="shared" ca="1" si="18"/>
        <v>0</v>
      </c>
      <c r="O33" s="457">
        <f t="shared" si="18"/>
        <v>0</v>
      </c>
      <c r="P33" s="457">
        <f t="shared" si="18"/>
        <v>0</v>
      </c>
      <c r="Q33" s="457">
        <f t="shared" ca="1" si="18"/>
        <v>293888.04411737452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2648.7481688010957</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4470.6288713385302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5089.5</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5987.6470588235297</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12208.877040139625</v>
      </c>
      <c r="C10" s="981">
        <f>SUM(C4:C9)</f>
        <v>0</v>
      </c>
      <c r="D10" s="981">
        <f t="shared" ref="D10:H10" si="0">SUM(D8:D9)</f>
        <v>0</v>
      </c>
      <c r="E10" s="981">
        <f t="shared" si="0"/>
        <v>0</v>
      </c>
      <c r="F10" s="981">
        <f t="shared" si="0"/>
        <v>0</v>
      </c>
      <c r="G10" s="981">
        <f t="shared" si="0"/>
        <v>0</v>
      </c>
      <c r="H10" s="981">
        <f t="shared" si="0"/>
        <v>0</v>
      </c>
      <c r="I10" s="981">
        <f>SUM(I8:I9)</f>
        <v>0</v>
      </c>
      <c r="J10" s="981">
        <f>SUM(J8:J9)</f>
        <v>5987.6470588235297</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0.20931444366862745</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7270.7142857142862</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8553.7815126050427</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7270.7142857142862</v>
      </c>
      <c r="C20" s="981">
        <f>SUM(C17:C19)</f>
        <v>0</v>
      </c>
      <c r="D20" s="981">
        <f t="shared" ref="D20:H20" si="2">SUM(D17:D19)</f>
        <v>0</v>
      </c>
      <c r="E20" s="981">
        <f t="shared" si="2"/>
        <v>0</v>
      </c>
      <c r="F20" s="981">
        <f t="shared" si="2"/>
        <v>0</v>
      </c>
      <c r="G20" s="981">
        <f t="shared" si="2"/>
        <v>0</v>
      </c>
      <c r="H20" s="981">
        <f t="shared" si="2"/>
        <v>0</v>
      </c>
      <c r="I20" s="981">
        <f>SUM(I17:I19)</f>
        <v>0</v>
      </c>
      <c r="J20" s="981">
        <f>SUM(J17:J19)</f>
        <v>8553.7815126050427</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0.20931444366862745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2022-07-26T12:22:25Z</dcterms:modified>
</cp:coreProperties>
</file>