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192488B-826F-438C-8948-ED59A46308CF}"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62" i="18"/>
  <c r="E9" i="18"/>
  <c r="D9" i="18"/>
  <c r="W65" i="18"/>
  <c r="V65" i="18"/>
  <c r="U65" i="18"/>
  <c r="T65" i="18"/>
  <c r="S65" i="18"/>
  <c r="R65" i="18"/>
  <c r="Q65" i="18"/>
  <c r="P65" i="18"/>
  <c r="O65" i="18"/>
  <c r="N65" i="18"/>
  <c r="M65" i="18"/>
  <c r="W64" i="18"/>
  <c r="V64" i="18"/>
  <c r="U64" i="18"/>
  <c r="T64" i="18"/>
  <c r="S64" i="18"/>
  <c r="R64" i="18"/>
  <c r="Q64" i="18"/>
  <c r="P64" i="18"/>
  <c r="O64" i="18"/>
  <c r="N64" i="18"/>
  <c r="M64" i="18"/>
  <c r="W63" i="18"/>
  <c r="V63" i="18"/>
  <c r="U63" i="18"/>
  <c r="T63" i="18"/>
  <c r="S63" i="18"/>
  <c r="R63" i="18"/>
  <c r="Q63" i="18"/>
  <c r="P63" i="18"/>
  <c r="O63" i="18"/>
  <c r="N63" i="18"/>
  <c r="M63" i="18"/>
  <c r="W62" i="18"/>
  <c r="H9" i="18"/>
  <c r="V62" i="18"/>
  <c r="Q62" i="18"/>
  <c r="R62" i="18"/>
  <c r="J9" i="18"/>
  <c r="U62" i="18"/>
  <c r="T62" i="18"/>
  <c r="I9" i="18"/>
  <c r="P62" i="18"/>
  <c r="C9" i="18"/>
  <c r="O62" i="18"/>
  <c r="N62" i="18"/>
  <c r="B9" i="18"/>
  <c r="M62" i="18"/>
  <c r="W58" i="18"/>
  <c r="V58" i="18"/>
  <c r="U58" i="18"/>
  <c r="T58" i="18"/>
  <c r="S58" i="18"/>
  <c r="R58" i="18"/>
  <c r="Q58" i="18"/>
  <c r="P58" i="18"/>
  <c r="O58" i="18"/>
  <c r="N58" i="18"/>
  <c r="M58" i="18"/>
  <c r="W57" i="18"/>
  <c r="V57" i="18"/>
  <c r="U57" i="18"/>
  <c r="T57" i="18"/>
  <c r="S57" i="18"/>
  <c r="R57" i="18"/>
  <c r="Q57" i="18"/>
  <c r="P57" i="18"/>
  <c r="O57" i="18"/>
  <c r="N57" i="18"/>
  <c r="M57" i="18"/>
  <c r="W56" i="18"/>
  <c r="V56" i="18"/>
  <c r="U56" i="18"/>
  <c r="T56" i="18"/>
  <c r="S56" i="18"/>
  <c r="R56" i="18"/>
  <c r="Q56" i="18"/>
  <c r="P56" i="18"/>
  <c r="O56" i="18"/>
  <c r="N56" i="18"/>
  <c r="M56" i="18"/>
  <c r="W55" i="18"/>
  <c r="V55" i="18"/>
  <c r="U55" i="18"/>
  <c r="T55" i="18"/>
  <c r="S55" i="18"/>
  <c r="R55" i="18"/>
  <c r="Q55" i="18"/>
  <c r="P55" i="18"/>
  <c r="O55" i="18"/>
  <c r="N55" i="18"/>
  <c r="B8" i="18"/>
  <c r="M55" i="18"/>
  <c r="G22" i="18"/>
  <c r="F22" i="18"/>
  <c r="E22" i="18"/>
  <c r="D22" i="18"/>
  <c r="C22" i="18"/>
  <c r="L20" i="18"/>
  <c r="D20" i="18"/>
  <c r="G12" i="18"/>
  <c r="F12" i="18"/>
  <c r="E12" i="18"/>
  <c r="D12" i="18"/>
  <c r="C12" i="18"/>
  <c r="L10" i="18"/>
  <c r="K10" i="18"/>
  <c r="G10" i="18"/>
  <c r="D10" i="18"/>
  <c r="B6" i="18"/>
  <c r="B5" i="18"/>
  <c r="B4" i="18"/>
  <c r="B71" i="18"/>
  <c r="F75" i="18"/>
  <c r="F20" i="18"/>
  <c r="B17" i="18"/>
  <c r="C71" i="18"/>
  <c r="B74" i="18"/>
  <c r="C8" i="18"/>
  <c r="G20" i="18"/>
  <c r="K20" i="18"/>
  <c r="B10" i="18"/>
  <c r="O9" i="18"/>
  <c r="O19" i="18"/>
  <c r="O18" i="18"/>
  <c r="B20" i="18"/>
  <c r="I74" i="18"/>
  <c r="H8" i="18"/>
  <c r="H10" i="18"/>
  <c r="E74" i="18"/>
  <c r="E8" i="18"/>
  <c r="E10" i="18"/>
  <c r="D74" i="18"/>
  <c r="F74" i="18"/>
  <c r="N6" i="17"/>
  <c r="L6" i="17"/>
  <c r="F6" i="17"/>
  <c r="D6" i="17"/>
  <c r="C6" i="17"/>
  <c r="N16" i="16"/>
  <c r="L16" i="16"/>
  <c r="F16" i="16"/>
  <c r="D16" i="16"/>
  <c r="C16" i="16"/>
  <c r="B16" i="16"/>
  <c r="B13" i="15"/>
  <c r="H74" i="18"/>
  <c r="C74" i="18"/>
  <c r="J8" i="18"/>
  <c r="C75" i="18"/>
  <c r="H75" i="18"/>
  <c r="G75" i="18"/>
  <c r="I17" i="18"/>
  <c r="I75" i="18"/>
  <c r="H17" i="18"/>
  <c r="H20" i="18"/>
  <c r="D75" i="18"/>
  <c r="E75" i="18"/>
  <c r="E17" i="18"/>
  <c r="E20" i="18"/>
  <c r="B75" i="18"/>
  <c r="C17" i="18"/>
  <c r="C20" i="18"/>
  <c r="G74"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<sst xmlns="http://schemas.openxmlformats.org/spreadsheetml/2006/main" count="2627" uniqueCount="947">
  <si>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</si>
  <si>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</si>
  <si>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</si>
  <si>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</si>
  <si>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</si>
  <si>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</si>
  <si>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</si>
  <si>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</si>
  <si>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</si>
  <si>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</si>
  <si>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</si>
  <si>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</si>
  <si>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</si>
  <si>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</si>
  <si>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</si>
  <si>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</si>
  <si>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</si>
  <si>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</si>
  <si>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</si>
  <si>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</si>
  <si>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</si>
  <si>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</si>
  <si>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</si>
  <si>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</si>
  <si>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</si>
  <si>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</si>
  <si>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</si>
  <si>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</si>
  <si>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</si>
  <si>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</si>
  <si>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</si>
  <si>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</si>
  <si>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</si>
  <si>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</si>
  <si>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</si>
  <si>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</si>
  <si>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</si>
  <si>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</si>
  <si>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</si>
  <si>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</si>
  <si>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</si>
  <si>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</si>
  <si>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</si>
  <si>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</si>
  <si>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</si>
  <si>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</si>
  <si>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</si>
  <si>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</si>
  <si>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</si>
  <si>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</si>
  <si>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</si>
  <si>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</si>
  <si>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</si>
  <si>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</si>
  <si>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</si>
  <si>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</si>
  <si>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</si>
  <si>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</si>
  <si>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</si>
  <si>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</si>
  <si>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</si>
  <si>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</si>
  <si>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</si>
  <si>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</si>
  <si>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</si>
  <si>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</si>
  <si>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</si>
  <si>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</si>
  <si>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</si>
  <si>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</si>
  <si>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</si>
  <si>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</si>
  <si>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</si>
  <si>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</si>
  <si>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</si>
  <si>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</si>
  <si>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</si>
  <si>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</si>
  <si>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</si>
  <si>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</si>
  <si>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</si>
  <si>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</si>
  <si>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</si>
  <si>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</si>
  <si>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</si>
  <si>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</si>
  <si>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</si>
  <si>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</si>
  <si>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</si>
  <si>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</si>
  <si>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</si>
  <si>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</si>
  <si>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</si>
  <si>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</si>
  <si>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</si>
  <si>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</si>
  <si>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</si>
  <si>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</si>
  <si>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</si>
  <si>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</si>
  <si>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</si>
  <si>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</si>
  <si>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</si>
  <si>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</si>
  <si>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</si>
  <si>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</si>
  <si>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</si>
  <si>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</si>
  <si>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</si>
  <si>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</si>
  <si>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</si>
  <si>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</si>
  <si>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</si>
  <si>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</si>
  <si>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</si>
  <si>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</si>
  <si>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</si>
  <si>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</si>
  <si>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</si>
  <si>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</si>
  <si>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</si>
  <si>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</si>
  <si>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</si>
  <si>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</si>
  <si>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</si>
  <si>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</si>
  <si>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</si>
  <si>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</si>
  <si>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</si>
  <si>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</si>
  <si>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</si>
  <si>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</si>
  <si>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</si>
  <si>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</si>
  <si>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</si>
  <si>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</si>
  <si>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</si>
  <si>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</si>
  <si>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</si>
  <si>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</si>
  <si>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</si>
  <si>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</si>
  <si>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</si>
  <si>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</si>
  <si>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</si>
  <si>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</si>
  <si>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</si>
  <si>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</si>
  <si>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</si>
  <si>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</si>
  <si>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</si>
  <si>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</si>
  <si>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</si>
  <si>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</si>
  <si>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</si>
  <si>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</si>
  <si>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</si>
  <si>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</si>
  <si>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</si>
  <si>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</si>
  <si>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</si>
  <si>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</si>
  <si>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</si>
  <si>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</si>
  <si>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</si>
  <si>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</si>
  <si>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</si>
  <si>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</si>
  <si>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</si>
  <si>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</si>
  <si>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</si>
  <si>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</si>
  <si>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</si>
  <si>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</si>
  <si>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</si>
  <si>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</si>
  <si>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</si>
  <si>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</si>
  <si>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</si>
  <si>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</si>
  <si>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</si>
  <si>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</si>
  <si>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</si>
  <si>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</si>
  <si>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</si>
  <si>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</si>
  <si>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</si>
  <si>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</si>
  <si>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</si>
  <si>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</si>
  <si>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</si>
  <si>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</si>
  <si>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</si>
  <si>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</si>
  <si>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</si>
  <si>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</si>
  <si>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</si>
  <si>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</si>
  <si>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</si>
  <si>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</si>
  <si>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</si>
  <si>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</si>
  <si>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</si>
  <si>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</si>
  <si>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</si>
  <si>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</si>
  <si>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</si>
  <si>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</si>
  <si>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</si>
  <si>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</si>
  <si>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</si>
  <si>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</si>
  <si>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</si>
  <si>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</si>
  <si>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</si>
  <si>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</si>
  <si>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</si>
  <si>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</si>
  <si>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</si>
  <si>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</si>
  <si>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</si>
  <si>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</si>
  <si>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</si>
  <si>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</si>
  <si>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</si>
  <si>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</si>
  <si>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</si>
  <si>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</si>
  <si>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</si>
  <si>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</si>
  <si>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</si>
  <si>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</si>
  <si>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</si>
  <si>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</si>
  <si>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</si>
  <si>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</si>
  <si>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</si>
  <si>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</si>
  <si>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</si>
  <si>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</si>
  <si>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</si>
  <si>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</si>
  <si>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</si>
  <si>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</si>
  <si>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</si>
  <si>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</si>
  <si>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</si>
  <si>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</si>
  <si>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</si>
  <si>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</si>
  <si>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</si>
  <si>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</si>
  <si>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</si>
  <si>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</si>
  <si>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</si>
  <si>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</si>
  <si>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</si>
  <si>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</si>
  <si>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</si>
  <si>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</si>
  <si>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</si>
  <si>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</si>
  <si>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</si>
  <si>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</si>
  <si>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</si>
  <si>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</si>
  <si>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</si>
  <si>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</si>
  <si>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</si>
  <si>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</si>
  <si>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</si>
  <si>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</si>
  <si>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</si>
  <si>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</si>
  <si>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</si>
  <si>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</si>
  <si>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</si>
  <si>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</si>
  <si>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</si>
  <si>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</si>
  <si>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</si>
  <si>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</si>
  <si>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</si>
  <si>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</si>
  <si>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</si>
  <si>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</si>
  <si>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</si>
  <si>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</si>
  <si>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</si>
  <si>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</si>
  <si>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</si>
  <si>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</si>
  <si>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</si>
  <si>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</si>
  <si>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</si>
  <si>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</si>
  <si>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</si>
  <si>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</si>
  <si>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</si>
  <si>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</si>
  <si>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</si>
  <si>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</si>
  <si>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</si>
  <si>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</si>
  <si>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</si>
  <si>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</si>
  <si>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</si>
  <si>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</si>
  <si>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</si>
  <si>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</si>
  <si>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</si>
  <si>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</si>
  <si>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</si>
  <si>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</si>
  <si>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</si>
  <si>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</si>
  <si>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</si>
  <si>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</si>
  <si>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</si>
  <si>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</si>
  <si>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</si>
  <si>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</si>
  <si>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</si>
  <si>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</si>
  <si>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</si>
  <si>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</si>
  <si>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</si>
  <si>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</si>
  <si>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</si>
  <si>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</si>
  <si>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</si>
  <si>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</si>
  <si>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</si>
  <si>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</si>
  <si>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</si>
  <si>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</si>
  <si>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</si>
  <si>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</si>
  <si>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</si>
  <si>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</si>
  <si>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</si>
  <si>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</si>
  <si>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</si>
  <si>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</si>
  <si>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</si>
  <si>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</si>
  <si>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</si>
  <si>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</si>
  <si>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</si>
  <si>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</si>
  <si>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</si>
  <si>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</si>
  <si>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</si>
  <si>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</si>
  <si>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</si>
  <si>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</si>
  <si>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</si>
  <si>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</si>
  <si>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</si>
  <si>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</si>
  <si>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</si>
  <si>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</si>
  <si>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</si>
  <si>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</si>
  <si>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</si>
  <si>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</si>
  <si>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</si>
  <si>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</si>
  <si>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</si>
  <si>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</si>
  <si>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</si>
  <si>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</si>
  <si>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</si>
  <si>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</si>
  <si>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</si>
  <si>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</si>
  <si>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</si>
  <si>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</si>
  <si>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</si>
  <si>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</si>
  <si>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</si>
  <si>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</si>
  <si>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</si>
  <si>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</si>
  <si>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</si>
  <si>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</si>
  <si>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</si>
  <si>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</si>
  <si>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</si>
  <si>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</si>
  <si>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</si>
  <si>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</si>
  <si>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</si>
  <si>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</si>
  <si>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</si>
  <si>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</si>
  <si>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</si>
  <si>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</si>
  <si>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</si>
  <si>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</si>
  <si>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</si>
  <si>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</si>
  <si>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</si>
  <si>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</si>
  <si>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</si>
  <si>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</si>
  <si>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</si>
  <si>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</si>
  <si>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</si>
  <si>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</si>
  <si>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</si>
  <si>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</si>
  <si>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</si>
  <si>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</si>
  <si>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</si>
  <si>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</si>
  <si>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</si>
  <si>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</si>
  <si>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</si>
  <si>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</si>
  <si>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</si>
  <si>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</si>
  <si>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</si>
  <si>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</si>
  <si>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</si>
  <si>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</si>
  <si>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</si>
  <si>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</si>
  <si>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</si>
  <si>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</si>
  <si>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</si>
  <si>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</si>
  <si>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</si>
  <si>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</si>
  <si>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</si>
  <si>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</si>
  <si>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</si>
  <si>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</si>
  <si>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</si>
  <si>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</si>
  <si>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</si>
  <si>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</si>
  <si>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</si>
  <si>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</si>
  <si>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</si>
  <si>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</si>
  <si>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</si>
  <si>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</si>
  <si>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</si>
  <si>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</si>
  <si>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</si>
  <si>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</si>
  <si>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</si>
  <si>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</si>
  <si>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</si>
  <si>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</si>
  <si>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</si>
  <si>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</si>
  <si>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</si>
  <si>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</si>
  <si>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</si>
  <si>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</si>
  <si>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</si>
  <si>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</si>
  <si>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</si>
  <si>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</si>
  <si>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</si>
  <si>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</si>
  <si>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</si>
  <si>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</si>
  <si>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</si>
  <si>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</si>
  <si>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</si>
  <si>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</si>
  <si>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</si>
  <si>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</si>
  <si>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</si>
  <si>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</si>
  <si>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</si>
  <si>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</si>
  <si>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</si>
  <si>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</si>
  <si>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</si>
  <si>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</si>
  <si>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</si>
  <si>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</si>
  <si>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</si>
  <si>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</si>
  <si>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</si>
  <si>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</si>
  <si>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</si>
  <si>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</si>
  <si>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</si>
  <si>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</si>
  <si>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</si>
  <si>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</si>
  <si>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</si>
  <si>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</si>
  <si>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</si>
  <si>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</si>
  <si>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</si>
  <si>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</si>
  <si>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</si>
  <si>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</si>
  <si>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</si>
  <si>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</si>
  <si>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</si>
  <si>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</si>
  <si>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</si>
  <si>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</si>
  <si>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</si>
  <si>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</si>
  <si>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</si>
  <si>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</si>
  <si>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</si>
  <si>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</si>
  <si>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</si>
  <si>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</si>
  <si>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</si>
  <si>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</si>
  <si>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</si>
  <si>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</si>
  <si>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</si>
  <si>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</si>
  <si>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</si>
  <si>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</si>
  <si>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</si>
  <si>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</si>
  <si>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</si>
  <si>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</si>
  <si>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</si>
  <si>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</si>
  <si>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</si>
  <si>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</si>
  <si>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</si>
  <si>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</si>
  <si>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</si>
  <si>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</si>
  <si>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</si>
  <si>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</si>
  <si>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</si>
  <si>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</si>
  <si>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</si>
  <si>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</si>
  <si>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</si>
  <si>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</si>
  <si>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</si>
  <si>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</si>
  <si>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</si>
  <si>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</si>
  <si>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</si>
  <si>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</si>
  <si>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</si>
  <si>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</si>
  <si>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</si>
  <si>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</si>
  <si>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</si>
  <si>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</si>
  <si>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</si>
  <si>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</si>
  <si>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</si>
  <si>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</si>
  <si>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</si>
  <si>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</si>
  <si>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</si>
  <si>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</si>
  <si>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</si>
  <si>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</si>
  <si>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</si>
  <si>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</si>
  <si>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</si>
  <si>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</si>
  <si>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</si>
  <si>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</si>
  <si>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</si>
  <si>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</si>
  <si>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</si>
  <si>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</si>
  <si>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</si>
  <si>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</si>
  <si>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</si>
  <si>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</si>
  <si>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</si>
  <si>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</si>
  <si>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</si>
  <si>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</si>
  <si>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</si>
  <si>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</si>
  <si>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</si>
  <si>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</si>
  <si>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</si>
  <si>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</si>
  <si>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</si>
  <si>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</si>
  <si>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</si>
  <si>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</si>
  <si>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</si>
  <si>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</si>
  <si>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</si>
  <si>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</si>
  <si>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</si>
  <si>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</si>
  <si>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</si>
  <si>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</si>
  <si>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</si>
  <si>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</si>
  <si>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</si>
  <si>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</si>
  <si>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</si>
  <si>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</si>
  <si>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</si>
  <si>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</si>
  <si>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</si>
  <si>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</si>
  <si>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</si>
  <si>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</si>
  <si>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</si>
  <si>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</si>
  <si>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</si>
  <si>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</si>
  <si>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</si>
  <si>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</si>
  <si>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</si>
  <si>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</si>
  <si>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</si>
  <si>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</si>
  <si>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</si>
  <si>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</si>
  <si>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</si>
  <si>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</si>
  <si>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</si>
  <si>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</si>
  <si>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</si>
  <si>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</si>
  <si>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</si>
  <si>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</si>
  <si>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</si>
  <si>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</si>
  <si>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</si>
  <si>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</si>
  <si>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</si>
  <si>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</si>
  <si>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</si>
  <si>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</si>
  <si>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</si>
  <si>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</si>
  <si>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</si>
  <si>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</si>
  <si>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</si>
  <si>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</si>
  <si>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</si>
  <si>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</si>
  <si>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</si>
  <si>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</si>
  <si>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</si>
  <si>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</si>
  <si>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</si>
  <si>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</si>
  <si>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</si>
  <si>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</si>
  <si>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</si>
  <si>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</si>
  <si>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</si>
  <si>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</si>
  <si>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</si>
  <si>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</si>
  <si>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</si>
  <si>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</si>
  <si>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</si>
  <si>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</si>
  <si>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</si>
  <si>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</si>
  <si>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</si>
  <si>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</si>
  <si>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</si>
  <si>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</si>
  <si>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</si>
  <si>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</si>
  <si>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</si>
  <si>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</si>
  <si>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</si>
  <si>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</si>
  <si>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</si>
  <si>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</si>
  <si>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</si>
  <si>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</si>
  <si>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</si>
  <si>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</si>
  <si>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</si>
  <si>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</si>
  <si>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</si>
  <si>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</si>
  <si>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</si>
  <si>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</si>
  <si>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</si>
  <si>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</si>
  <si>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</si>
  <si>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</si>
  <si>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</si>
  <si>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</si>
  <si>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</si>
  <si>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</si>
  <si>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</si>
  <si>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</si>
  <si>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</si>
  <si>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</si>
  <si>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</si>
  <si>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</si>
  <si>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</si>
  <si>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</si>
  <si>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</si>
  <si>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</si>
  <si>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</si>
  <si>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</si>
  <si>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</si>
  <si>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</si>
  <si>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</si>
  <si>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</si>
  <si>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</si>
  <si>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</si>
  <si>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</si>
  <si>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</si>
  <si>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</si>
  <si>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</si>
  <si>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</si>
  <si>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</si>
  <si>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</si>
  <si>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</si>
  <si>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</si>
  <si>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</si>
  <si>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</si>
  <si>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</si>
  <si>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</si>
  <si>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</si>
  <si>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</si>
  <si>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</si>
  <si>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</si>
  <si>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</si>
  <si>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</si>
  <si>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</si>
  <si>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</si>
  <si>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</si>
  <si>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</si>
  <si>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</si>
  <si>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</si>
  <si>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</si>
  <si>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</si>
  <si>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</si>
  <si>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</si>
  <si>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</si>
  <si>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</si>
  <si>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</si>
  <si>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</si>
  <si>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</si>
  <si>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</si>
  <si>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</si>
  <si>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</si>
  <si>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</si>
  <si>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</si>
  <si>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</si>
  <si>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</si>
  <si>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</si>
  <si>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</si>
  <si>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</si>
  <si>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</si>
  <si>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</si>
  <si>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</si>
  <si>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</si>
  <si>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</si>
  <si>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</si>
  <si>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</si>
  <si>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</si>
  <si>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</si>
  <si>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</si>
  <si>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</si>
  <si>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</si>
  <si>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</si>
  <si>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</si>
  <si>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</si>
  <si>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</si>
  <si>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</si>
  <si>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</si>
  <si>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</si>
  <si>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</si>
  <si>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</si>
  <si>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</si>
  <si>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</si>
  <si>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</si>
  <si>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</si>
  <si>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</si>
  <si>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</si>
  <si>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</si>
  <si>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</si>
  <si>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</si>
  <si>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</si>
  <si>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</si>
  <si>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</si>
  <si>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</si>
  <si>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</si>
  <si>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</si>
  <si>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</si>
  <si>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</si>
  <si>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</si>
  <si>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</si>
  <si>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</si>
  <si>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</si>
  <si>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</si>
  <si>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</si>
  <si>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</si>
  <si>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</si>
  <si>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</si>
  <si>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</si>
  <si>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</si>
  <si>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</si>
  <si>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</si>
  <si>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</si>
  <si>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</si>
  <si>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</si>
  <si>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</si>
  <si>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</si>
  <si>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</si>
  <si>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</si>
  <si>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</si>
  <si>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</si>
  <si>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</si>
  <si>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</si>
  <si>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</si>
  <si>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</si>
  <si>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</si>
  <si>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</si>
  <si>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</si>
  <si>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</si>
  <si>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</si>
  <si>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</si>
  <si>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</si>
  <si>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</si>
  <si>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</si>
  <si>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</si>
  <si>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</si>
  <si>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</si>
  <si>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</si>
  <si>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</si>
  <si>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</si>
  <si>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</si>
  <si>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</si>
  <si>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</si>
  <si>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</si>
  <si>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</si>
  <si>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</si>
  <si>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</si>
  <si>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</si>
  <si>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</si>
  <si>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</si>
  <si>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</si>
  <si>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</si>
  <si>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</si>
  <si>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</si>
  <si>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</si>
  <si>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</si>
  <si>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</si>
  <si>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</si>
  <si>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</si>
  <si>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</si>
  <si>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</si>
  <si>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</si>
  <si>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</si>
  <si>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</si>
  <si>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</si>
  <si>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</si>
  <si>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</si>
  <si>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</si>
  <si>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</si>
  <si>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</si>
  <si>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</si>
  <si>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</si>
  <si>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</si>
  <si>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</si>
  <si>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</si>
  <si>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</si>
  <si>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</si>
  <si>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</si>
  <si>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</si>
  <si>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</si>
  <si>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</si>
  <si>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</si>
  <si>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</si>
  <si>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</si>
  <si>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</si>
  <si>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</si>
  <si>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</si>
  <si>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</si>
  <si>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</si>
  <si>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</si>
  <si>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</si>
  <si>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</si>
  <si>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</si>
  <si>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</si>
  <si>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</si>
  <si>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</si>
  <si>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</si>
  <si>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</si>
  <si>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</si>
  <si>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</si>
  <si>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</si>
  <si>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</si>
  <si>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</si>
  <si>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</si>
  <si>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</si>
  <si>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</si>
  <si>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</si>
  <si>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</si>
  <si>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</si>
  <si>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</si>
  <si>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</si>
  <si>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</si>
  <si>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</si>
  <si>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</si>
  <si>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</si>
  <si>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</si>
  <si>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</si>
  <si>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</si>
  <si>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</si>
  <si>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</si>
  <si>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</si>
  <si>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</si>
  <si>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</si>
  <si>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</si>
  <si>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</si>
  <si>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</si>
  <si>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</si>
  <si>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</si>
  <si>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</si>
  <si>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</si>
  <si>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</si>
  <si>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</si>
  <si>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</si>
  <si>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</si>
  <si>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12035</t>
  </si>
  <si>
    <t>SINT-KATELIJNE-WAVER</t>
  </si>
  <si>
    <t>Paarden&amp;pony's 200 - 600 kg</t>
  </si>
  <si>
    <t>Paarden&amp;pony's &lt; 200 kg</t>
  </si>
  <si>
    <t>vloeibaar gas (MWh)</t>
  </si>
  <si>
    <t>interne verbrandingsmotor</t>
  </si>
  <si>
    <t>WKK interne verbrandinsgmotor (gas)</t>
  </si>
  <si>
    <t>IVERLEK</t>
  </si>
  <si>
    <t>WKK interne verbrandinsgmotor (vloeibaar)</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</si>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</sst>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D1220AA9-B80B-47C2-BCB6-764ED324E207}"/>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12035</v>
      </c>
      <c r="B6" s="384"/>
      <c r="C6" s="385"/>
    </row>
    <row r="7" spans="1:7" s="382" customFormat="1" ht="15.75" customHeight="1">
      <c r="A7" s="386" t="str">
        <f>txtMunicipality</f>
        <v>SINT-KATELIJNE-WAVER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0.20434095258639309</v>
      </c>
      <c r="C17" s="496">
        <f ca="1">'EF ele_warmte'!B22</f>
        <v>0.2144918130005056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0.20434095258639309</v>
      </c>
      <c r="C29" s="497">
        <f ca="1">'EF ele_warmte'!B22</f>
        <v>0.2144918130005056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7882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1106</v>
      </c>
      <c r="C14" s="327"/>
      <c r="D14" s="327"/>
      <c r="E14" s="327"/>
      <c r="F14" s="327"/>
    </row>
    <row r="15" spans="1:6">
      <c r="A15" s="1258" t="s">
        <v>177</v>
      </c>
      <c r="B15" s="1259">
        <v>3</v>
      </c>
      <c r="C15" s="327"/>
      <c r="D15" s="327"/>
      <c r="E15" s="327"/>
      <c r="F15" s="327"/>
    </row>
    <row r="16" spans="1:6">
      <c r="A16" s="1258" t="s">
        <v>6</v>
      </c>
      <c r="B16" s="1259">
        <v>285</v>
      </c>
      <c r="C16" s="327"/>
      <c r="D16" s="327"/>
      <c r="E16" s="327"/>
      <c r="F16" s="327"/>
    </row>
    <row r="17" spans="1:6">
      <c r="A17" s="1258" t="s">
        <v>7</v>
      </c>
      <c r="B17" s="1259">
        <v>157</v>
      </c>
      <c r="C17" s="327"/>
      <c r="D17" s="327"/>
      <c r="E17" s="327"/>
      <c r="F17" s="327"/>
    </row>
    <row r="18" spans="1:6">
      <c r="A18" s="1258" t="s">
        <v>8</v>
      </c>
      <c r="B18" s="1259">
        <v>294</v>
      </c>
      <c r="C18" s="327"/>
      <c r="D18" s="327"/>
      <c r="E18" s="327"/>
      <c r="F18" s="327"/>
    </row>
    <row r="19" spans="1:6">
      <c r="A19" s="1258" t="s">
        <v>9</v>
      </c>
      <c r="B19" s="1259">
        <v>220</v>
      </c>
      <c r="C19" s="327"/>
      <c r="D19" s="327"/>
      <c r="E19" s="327"/>
      <c r="F19" s="327"/>
    </row>
    <row r="20" spans="1:6">
      <c r="A20" s="1258" t="s">
        <v>10</v>
      </c>
      <c r="B20" s="1259">
        <v>305</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126</v>
      </c>
      <c r="C26" s="327"/>
      <c r="D26" s="327"/>
      <c r="E26" s="327"/>
      <c r="F26" s="327"/>
    </row>
    <row r="27" spans="1:6">
      <c r="A27" s="1258" t="s">
        <v>17</v>
      </c>
      <c r="B27" s="1259">
        <v>1</v>
      </c>
      <c r="C27" s="327"/>
      <c r="D27" s="327"/>
      <c r="E27" s="327"/>
      <c r="F27" s="327"/>
    </row>
    <row r="28" spans="1:6">
      <c r="A28" s="1258" t="s">
        <v>18</v>
      </c>
      <c r="B28" s="1260">
        <v>30003</v>
      </c>
      <c r="C28" s="327"/>
      <c r="D28" s="327"/>
      <c r="E28" s="327"/>
      <c r="F28" s="327"/>
    </row>
    <row r="29" spans="1:6">
      <c r="A29" s="1258" t="s">
        <v>939</v>
      </c>
      <c r="B29" s="1260">
        <v>443</v>
      </c>
      <c r="C29" s="327"/>
      <c r="D29" s="327"/>
      <c r="E29" s="327"/>
      <c r="F29" s="327"/>
    </row>
    <row r="30" spans="1:6">
      <c r="A30" s="1253" t="s">
        <v>940</v>
      </c>
      <c r="B30" s="1261">
        <v>74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29700972.040004399</v>
      </c>
      <c r="E38" s="1259">
        <v>6</v>
      </c>
      <c r="F38" s="1259">
        <v>485831.05855055101</v>
      </c>
    </row>
    <row r="39" spans="1:6">
      <c r="A39" s="1258" t="s">
        <v>29</v>
      </c>
      <c r="B39" s="1258" t="s">
        <v>30</v>
      </c>
      <c r="C39" s="1259">
        <v>4812</v>
      </c>
      <c r="D39" s="1259">
        <v>94391252.287977099</v>
      </c>
      <c r="E39" s="1259">
        <v>7560</v>
      </c>
      <c r="F39" s="1259">
        <v>33384016.536831301</v>
      </c>
    </row>
    <row r="40" spans="1:6">
      <c r="A40" s="1258" t="s">
        <v>29</v>
      </c>
      <c r="B40" s="1258" t="s">
        <v>28</v>
      </c>
      <c r="C40" s="1259">
        <v>0</v>
      </c>
      <c r="D40" s="1259">
        <v>0</v>
      </c>
      <c r="E40" s="1259">
        <v>0</v>
      </c>
      <c r="F40" s="1259">
        <v>0</v>
      </c>
    </row>
    <row r="41" spans="1:6">
      <c r="A41" s="1258" t="s">
        <v>31</v>
      </c>
      <c r="B41" s="1258" t="s">
        <v>32</v>
      </c>
      <c r="C41" s="1259">
        <v>44</v>
      </c>
      <c r="D41" s="1259">
        <v>2151980.0618277299</v>
      </c>
      <c r="E41" s="1259">
        <v>113</v>
      </c>
      <c r="F41" s="1259">
        <v>1443636.07995064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373344.308303378</v>
      </c>
      <c r="E44" s="1259">
        <v>12</v>
      </c>
      <c r="F44" s="1259">
        <v>524114.58665345598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40</v>
      </c>
      <c r="D48" s="1259">
        <v>5644645.8188925004</v>
      </c>
      <c r="E48" s="1259">
        <v>57</v>
      </c>
      <c r="F48" s="1259">
        <v>2878332.59794077</v>
      </c>
    </row>
    <row r="49" spans="1:6">
      <c r="A49" s="1258" t="s">
        <v>31</v>
      </c>
      <c r="B49" s="1258" t="s">
        <v>39</v>
      </c>
      <c r="C49" s="1259">
        <v>0</v>
      </c>
      <c r="D49" s="1259">
        <v>0</v>
      </c>
      <c r="E49" s="1259">
        <v>0</v>
      </c>
      <c r="F49" s="1259">
        <v>0</v>
      </c>
    </row>
    <row r="50" spans="1:6">
      <c r="A50" s="1258" t="s">
        <v>31</v>
      </c>
      <c r="B50" s="1258" t="s">
        <v>40</v>
      </c>
      <c r="C50" s="1259">
        <v>8</v>
      </c>
      <c r="D50" s="1259">
        <v>415296.125149147</v>
      </c>
      <c r="E50" s="1259">
        <v>15</v>
      </c>
      <c r="F50" s="1259">
        <v>484700.49593724601</v>
      </c>
    </row>
    <row r="51" spans="1:6">
      <c r="A51" s="1258" t="s">
        <v>41</v>
      </c>
      <c r="B51" s="1258" t="s">
        <v>42</v>
      </c>
      <c r="C51" s="1259">
        <v>54</v>
      </c>
      <c r="D51" s="1259">
        <v>478802451.48810202</v>
      </c>
      <c r="E51" s="1259">
        <v>185</v>
      </c>
      <c r="F51" s="1259">
        <v>6321950.98780791</v>
      </c>
    </row>
    <row r="52" spans="1:6">
      <c r="A52" s="1258" t="s">
        <v>41</v>
      </c>
      <c r="B52" s="1258" t="s">
        <v>28</v>
      </c>
      <c r="C52" s="1259">
        <v>9</v>
      </c>
      <c r="D52" s="1259">
        <v>9090824.7717426904</v>
      </c>
      <c r="E52" s="1259">
        <v>14</v>
      </c>
      <c r="F52" s="1259">
        <v>233474.83950268201</v>
      </c>
    </row>
    <row r="53" spans="1:6">
      <c r="A53" s="1258" t="s">
        <v>43</v>
      </c>
      <c r="B53" s="1258" t="s">
        <v>44</v>
      </c>
      <c r="C53" s="1259">
        <v>97</v>
      </c>
      <c r="D53" s="1259">
        <v>3290568.94948107</v>
      </c>
      <c r="E53" s="1259">
        <v>181</v>
      </c>
      <c r="F53" s="1259">
        <v>1092070.8794563301</v>
      </c>
    </row>
    <row r="54" spans="1:6">
      <c r="A54" s="1258" t="s">
        <v>45</v>
      </c>
      <c r="B54" s="1258" t="s">
        <v>46</v>
      </c>
      <c r="C54" s="1259">
        <v>0</v>
      </c>
      <c r="D54" s="1259">
        <v>0</v>
      </c>
      <c r="E54" s="1259">
        <v>1</v>
      </c>
      <c r="F54" s="1259">
        <v>1623531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30</v>
      </c>
      <c r="D57" s="1259">
        <v>2863428.9309343202</v>
      </c>
      <c r="E57" s="1259">
        <v>56</v>
      </c>
      <c r="F57" s="1259">
        <v>503760.99136437097</v>
      </c>
    </row>
    <row r="58" spans="1:6">
      <c r="A58" s="1258" t="s">
        <v>48</v>
      </c>
      <c r="B58" s="1258" t="s">
        <v>50</v>
      </c>
      <c r="C58" s="1259">
        <v>32</v>
      </c>
      <c r="D58" s="1259">
        <v>7852246.69756262</v>
      </c>
      <c r="E58" s="1259">
        <v>35</v>
      </c>
      <c r="F58" s="1259">
        <v>1729590.67230185</v>
      </c>
    </row>
    <row r="59" spans="1:6">
      <c r="A59" s="1258" t="s">
        <v>48</v>
      </c>
      <c r="B59" s="1258" t="s">
        <v>51</v>
      </c>
      <c r="C59" s="1259">
        <v>79</v>
      </c>
      <c r="D59" s="1259">
        <v>5037658.8254085602</v>
      </c>
      <c r="E59" s="1259">
        <v>160</v>
      </c>
      <c r="F59" s="1259">
        <v>29408970.871369701</v>
      </c>
    </row>
    <row r="60" spans="1:6">
      <c r="A60" s="1258" t="s">
        <v>48</v>
      </c>
      <c r="B60" s="1258" t="s">
        <v>52</v>
      </c>
      <c r="C60" s="1259">
        <v>67</v>
      </c>
      <c r="D60" s="1259">
        <v>5033240.3379923198</v>
      </c>
      <c r="E60" s="1259">
        <v>126</v>
      </c>
      <c r="F60" s="1259">
        <v>2872649.0438614502</v>
      </c>
    </row>
    <row r="61" spans="1:6">
      <c r="A61" s="1258" t="s">
        <v>48</v>
      </c>
      <c r="B61" s="1258" t="s">
        <v>53</v>
      </c>
      <c r="C61" s="1259">
        <v>109</v>
      </c>
      <c r="D61" s="1259">
        <v>5429998.3617048701</v>
      </c>
      <c r="E61" s="1259">
        <v>234</v>
      </c>
      <c r="F61" s="1259">
        <v>3606732.1391881201</v>
      </c>
    </row>
    <row r="62" spans="1:6">
      <c r="A62" s="1258" t="s">
        <v>48</v>
      </c>
      <c r="B62" s="1258" t="s">
        <v>54</v>
      </c>
      <c r="C62" s="1259">
        <v>6</v>
      </c>
      <c r="D62" s="1259">
        <v>2381714.71358418</v>
      </c>
      <c r="E62" s="1259">
        <v>11</v>
      </c>
      <c r="F62" s="1259">
        <v>621893.83308941405</v>
      </c>
    </row>
    <row r="63" spans="1:6">
      <c r="A63" s="1258" t="s">
        <v>48</v>
      </c>
      <c r="B63" s="1258" t="s">
        <v>28</v>
      </c>
      <c r="C63" s="1259">
        <v>127</v>
      </c>
      <c r="D63" s="1259">
        <v>26100505.047815301</v>
      </c>
      <c r="E63" s="1259">
        <v>176</v>
      </c>
      <c r="F63" s="1259">
        <v>13579546.227018399</v>
      </c>
    </row>
    <row r="64" spans="1:6">
      <c r="A64" s="1258" t="s">
        <v>55</v>
      </c>
      <c r="B64" s="1258" t="s">
        <v>56</v>
      </c>
      <c r="C64" s="1259">
        <v>0</v>
      </c>
      <c r="D64" s="1259">
        <v>0</v>
      </c>
      <c r="E64" s="1259">
        <v>0</v>
      </c>
      <c r="F64" s="1259">
        <v>0</v>
      </c>
    </row>
    <row r="65" spans="1:6">
      <c r="A65" s="1258" t="s">
        <v>55</v>
      </c>
      <c r="B65" s="1258" t="s">
        <v>28</v>
      </c>
      <c r="C65" s="1259">
        <v>3</v>
      </c>
      <c r="D65" s="1259">
        <v>171645.97029934099</v>
      </c>
      <c r="E65" s="1259">
        <v>5</v>
      </c>
      <c r="F65" s="1259">
        <v>72242.104547727999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7</v>
      </c>
      <c r="D68" s="1261">
        <v>368533.38769513898</v>
      </c>
      <c r="E68" s="1261">
        <v>15</v>
      </c>
      <c r="F68" s="1261">
        <v>840519.38828878605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60674461</v>
      </c>
      <c r="E73" s="445"/>
      <c r="F73" s="327"/>
    </row>
    <row r="74" spans="1:6">
      <c r="A74" s="1258" t="s">
        <v>63</v>
      </c>
      <c r="B74" s="1258" t="s">
        <v>724</v>
      </c>
      <c r="C74" s="1271" t="s">
        <v>718</v>
      </c>
      <c r="D74" s="1259">
        <v>4200716.2140390752</v>
      </c>
      <c r="E74" s="445"/>
      <c r="F74" s="327"/>
    </row>
    <row r="75" spans="1:6">
      <c r="A75" s="1258" t="s">
        <v>64</v>
      </c>
      <c r="B75" s="1258" t="s">
        <v>723</v>
      </c>
      <c r="C75" s="1271" t="s">
        <v>719</v>
      </c>
      <c r="D75" s="1259">
        <v>14694727</v>
      </c>
      <c r="E75" s="445"/>
      <c r="F75" s="327"/>
    </row>
    <row r="76" spans="1:6">
      <c r="A76" s="1258" t="s">
        <v>64</v>
      </c>
      <c r="B76" s="1258" t="s">
        <v>724</v>
      </c>
      <c r="C76" s="1271" t="s">
        <v>720</v>
      </c>
      <c r="D76" s="1259">
        <v>301874.21403907519</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713245.57192184962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3592.7549847119976</v>
      </c>
      <c r="C91" s="327"/>
      <c r="D91" s="327"/>
      <c r="E91" s="327"/>
      <c r="F91" s="327"/>
    </row>
    <row r="92" spans="1:6">
      <c r="A92" s="1253" t="s">
        <v>68</v>
      </c>
      <c r="B92" s="1254">
        <v>4111.6905440329101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3367</v>
      </c>
      <c r="C97" s="327"/>
      <c r="D97" s="327"/>
      <c r="E97" s="327"/>
      <c r="F97" s="327"/>
    </row>
    <row r="98" spans="1:6">
      <c r="A98" s="1258" t="s">
        <v>71</v>
      </c>
      <c r="B98" s="1259">
        <v>10</v>
      </c>
      <c r="C98" s="327"/>
      <c r="D98" s="327"/>
      <c r="E98" s="327"/>
      <c r="F98" s="327"/>
    </row>
    <row r="99" spans="1:6">
      <c r="A99" s="1258" t="s">
        <v>72</v>
      </c>
      <c r="B99" s="1259">
        <v>75</v>
      </c>
      <c r="C99" s="327"/>
      <c r="D99" s="327"/>
      <c r="E99" s="327"/>
      <c r="F99" s="327"/>
    </row>
    <row r="100" spans="1:6">
      <c r="A100" s="1258" t="s">
        <v>73</v>
      </c>
      <c r="B100" s="1259">
        <v>535</v>
      </c>
      <c r="C100" s="327"/>
      <c r="D100" s="327"/>
      <c r="E100" s="327"/>
      <c r="F100" s="327"/>
    </row>
    <row r="101" spans="1:6">
      <c r="A101" s="1258" t="s">
        <v>74</v>
      </c>
      <c r="B101" s="1259">
        <v>63</v>
      </c>
      <c r="C101" s="327"/>
      <c r="D101" s="327"/>
      <c r="E101" s="327"/>
      <c r="F101" s="327"/>
    </row>
    <row r="102" spans="1:6">
      <c r="A102" s="1258" t="s">
        <v>75</v>
      </c>
      <c r="B102" s="1259">
        <v>94</v>
      </c>
      <c r="C102" s="327"/>
      <c r="D102" s="327"/>
      <c r="E102" s="327"/>
      <c r="F102" s="327"/>
    </row>
    <row r="103" spans="1:6">
      <c r="A103" s="1258" t="s">
        <v>76</v>
      </c>
      <c r="B103" s="1259">
        <v>187</v>
      </c>
      <c r="C103" s="327"/>
      <c r="D103" s="327"/>
      <c r="E103" s="327"/>
      <c r="F103" s="327"/>
    </row>
    <row r="104" spans="1:6">
      <c r="A104" s="1258" t="s">
        <v>77</v>
      </c>
      <c r="B104" s="1259">
        <v>2851</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9</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79</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104997.71092468082</v>
      </c>
      <c r="C3" s="44" t="s">
        <v>163</v>
      </c>
      <c r="D3" s="44"/>
      <c r="E3" s="157"/>
      <c r="F3" s="44"/>
      <c r="G3" s="44"/>
      <c r="H3" s="44"/>
      <c r="I3" s="44"/>
      <c r="J3" s="44"/>
      <c r="K3" s="97"/>
    </row>
    <row r="4" spans="1:11">
      <c r="A4" s="352" t="s">
        <v>164</v>
      </c>
      <c r="B4" s="50">
        <f>IF(ISERROR('SEAP template'!B78+'SEAP template'!C78),0,'SEAP template'!B78+'SEAP template'!C78)</f>
        <v>162798.07052874492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33266.312811070544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0.20434095258639309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46020.742903215156</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214557.10714285713</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0.2144918130005056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1623.5309999999999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1623.5309999999999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0.20434095258639309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331.75387109353937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33384.016536831303</v>
      </c>
      <c r="C5" s="18">
        <f>IF(ISERROR('Eigen informatie GS &amp; warmtenet'!B57),0,'Eigen informatie GS &amp; warmtenet'!B57)</f>
        <v>0</v>
      </c>
      <c r="D5" s="31">
        <f>(SUM(HH_hh_gas_kWh,HH_rest_gas_kWh)/1000)*0.902</f>
        <v>85140.90956375534</v>
      </c>
      <c r="E5" s="18">
        <f>B32*B41</f>
        <v>1708.3904205014403</v>
      </c>
      <c r="F5" s="18">
        <f>B36*B45</f>
        <v>52083.863958251008</v>
      </c>
      <c r="G5" s="19"/>
      <c r="H5" s="18"/>
      <c r="I5" s="18"/>
      <c r="J5" s="18">
        <f>B35*B44+C35*C44</f>
        <v>945.0435631170518</v>
      </c>
      <c r="K5" s="18"/>
      <c r="L5" s="18"/>
      <c r="M5" s="18"/>
      <c r="N5" s="18">
        <f>B34*B43+C34*C43</f>
        <v>11351.407892627762</v>
      </c>
      <c r="O5" s="18">
        <f>B52*B53*B54</f>
        <v>137.57333333333335</v>
      </c>
      <c r="P5" s="18">
        <f>B60*B61*B62/1000-B60*B61*B62/1000/B63</f>
        <v>495.73333333333335</v>
      </c>
    </row>
    <row r="6" spans="1:16">
      <c r="A6" s="17" t="s">
        <v>597</v>
      </c>
      <c r="B6" s="731">
        <f>kWh_PV_kleiner_dan_10kW</f>
        <v>3592.7549847119976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36976.771521543298</v>
      </c>
      <c r="C8" s="22">
        <f>C5</f>
        <v>0</v>
      </c>
      <c r="D8" s="22">
        <f>D5</f>
        <v>85140.90956375534</v>
      </c>
      <c r="E8" s="22">
        <f>E5</f>
        <v>1708.3904205014403</v>
      </c>
      <c r="F8" s="22">
        <f>F5</f>
        <v>52083.863958251008</v>
      </c>
      <c r="G8" s="22"/>
      <c r="H8" s="22"/>
      <c r="I8" s="22"/>
      <c r="J8" s="22">
        <f>J5</f>
        <v>945.0435631170518</v>
      </c>
      <c r="K8" s="22"/>
      <c r="L8" s="22">
        <f>L5</f>
        <v>0</v>
      </c>
      <c r="M8" s="22">
        <f>M5</f>
        <v>0</v>
      </c>
      <c r="N8" s="22">
        <f>N5</f>
        <v>11351.407892627762</v>
      </c>
      <c r="O8" s="22">
        <f>O5</f>
        <v>137.57333333333335</v>
      </c>
      <c r="P8" s="22">
        <f>P5</f>
        <v>495.73333333333335</v>
      </c>
    </row>
    <row r="9" spans="1:16">
      <c r="B9" s="20"/>
      <c r="C9" s="20"/>
      <c r="D9" s="258"/>
      <c r="E9" s="20"/>
      <c r="F9" s="20"/>
      <c r="G9" s="20"/>
      <c r="H9" s="20"/>
      <c r="I9" s="20"/>
      <c r="J9" s="20"/>
      <c r="K9" s="20"/>
      <c r="L9" s="20"/>
      <c r="M9" s="20"/>
      <c r="N9" s="20"/>
      <c r="O9" s="20"/>
      <c r="P9" s="20"/>
    </row>
    <row r="10" spans="1:16">
      <c r="A10" s="25" t="s">
        <v>207</v>
      </c>
      <c r="B10" s="26">
        <f ca="1">'EF ele_warmte'!B12</f>
        <v>0.20434095258639309</v>
      </c>
      <c r="C10" s="26">
        <f ca="1">'EF ele_warmte'!B22</f>
        <v>0.2144918130005056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7555.8687162815695</v>
      </c>
      <c r="C12" s="24">
        <f ca="1">C10*C8</f>
        <v>0</v>
      </c>
      <c r="D12" s="24">
        <f>D8*D10</f>
        <v>17198.463731878579</v>
      </c>
      <c r="E12" s="24">
        <f>E10*E8</f>
        <v>387.80462545382699</v>
      </c>
      <c r="F12" s="24">
        <f>F10*F8</f>
        <v>13906.39167685302</v>
      </c>
      <c r="G12" s="24"/>
      <c r="H12" s="24"/>
      <c r="I12" s="24"/>
      <c r="J12" s="24">
        <f>J10*J8</f>
        <v>334.54542134343632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7882</v>
      </c>
      <c r="C26" s="37"/>
      <c r="D26" s="228"/>
    </row>
    <row r="27" spans="1:5" s="16" customFormat="1">
      <c r="A27" s="230" t="s">
        <v>623</v>
      </c>
      <c r="B27" s="38">
        <f>SUM(HH_hh_gas_aantal,HH_rest_gas_aantal)</f>
        <v>4812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4571.3999999999996</v>
      </c>
      <c r="C31" s="35" t="s">
        <v>104</v>
      </c>
      <c r="D31" s="174"/>
    </row>
    <row r="32" spans="1:5">
      <c r="A32" s="171" t="s">
        <v>72</v>
      </c>
      <c r="B32" s="34">
        <f>IF((B21*($B$26-($B$27-0.05*$B$27)-$B$60))&lt;0,0,B21*($B$26-($B$27-0.05*$B$27)-$B$60))</f>
        <v>80.720130784864011</v>
      </c>
      <c r="C32" s="35" t="s">
        <v>104</v>
      </c>
      <c r="D32" s="174"/>
    </row>
    <row r="33" spans="1:6">
      <c r="A33" s="171" t="s">
        <v>73</v>
      </c>
      <c r="B33" s="34">
        <f>IF((B22*($B$26-($B$27-0.05*$B$27)-$B$60))&lt;0,0,B22*($B$26-($B$27-0.05*$B$27)-$B$60))</f>
        <v>543.34115194046274</v>
      </c>
      <c r="C33" s="35" t="s">
        <v>104</v>
      </c>
      <c r="D33" s="174"/>
    </row>
    <row r="34" spans="1:6">
      <c r="A34" s="171" t="s">
        <v>74</v>
      </c>
      <c r="B34" s="34">
        <f>IF((B24*($B$26-($B$27-0.05*$B$27)-$B$60))&lt;0,0,B24*($B$26-($B$27-0.05*$B$27)-$B$60))</f>
        <v>137.80276872586029</v>
      </c>
      <c r="C34" s="34">
        <f>B26*C24</f>
        <v>1611.8873466876275</v>
      </c>
      <c r="D34" s="233"/>
    </row>
    <row r="35" spans="1:6">
      <c r="A35" s="171" t="s">
        <v>76</v>
      </c>
      <c r="B35" s="34">
        <f>IF((B19*($B$26-($B$27-0.05*$B$27)-$B$60))&lt;0,0,B19*($B$26-($B$27-0.05*$B$27)-$B$60))</f>
        <v>51.230708519735202</v>
      </c>
      <c r="C35" s="34">
        <f>B35/2</f>
        <v>25.615354259867601</v>
      </c>
      <c r="D35" s="233"/>
    </row>
    <row r="36" spans="1:6">
      <c r="A36" s="171" t="s">
        <v>77</v>
      </c>
      <c r="B36" s="34">
        <f>IF((B18*($B$26-($B$27-0.05*$B$27)-$B$60))&lt;0,0,B18*($B$26-($B$27-0.05*$B$27)-$B$60))</f>
        <v>2471.5052400290774</v>
      </c>
      <c r="C36" s="35" t="s">
        <v>104</v>
      </c>
      <c r="D36" s="174"/>
    </row>
    <row r="37" spans="1:6">
      <c r="A37" s="171" t="s">
        <v>78</v>
      </c>
      <c r="B37" s="34">
        <f>B60</f>
        <v>26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88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52323.143778193305</v>
      </c>
      <c r="C5" s="18">
        <f>IF(ISERROR('Eigen informatie GS &amp; warmtenet'!B58),0,'Eigen informatie GS &amp; warmtenet'!B58)</f>
        <v>0</v>
      </c>
      <c r="D5" s="31">
        <f>SUM(D6:D12)</f>
        <v>49338.311209331965</v>
      </c>
      <c r="E5" s="18">
        <f>SUM(E6:E12)</f>
        <v>432.02326318186283</v>
      </c>
      <c r="F5" s="18">
        <f>SUM(F6:F12)</f>
        <v>10277.354432872728</v>
      </c>
      <c r="G5" s="19"/>
      <c r="H5" s="18"/>
      <c r="I5" s="18"/>
      <c r="J5" s="18">
        <f>SUM(J6:J12)</f>
        <v>0</v>
      </c>
      <c r="K5" s="18"/>
      <c r="L5" s="18"/>
      <c r="M5" s="18"/>
      <c r="N5" s="18">
        <f>SUM(N6:N12)</f>
        <v>1208.088097079383</v>
      </c>
      <c r="O5" s="18">
        <f>B38*B39*B40</f>
        <v>3.1266666666666669</v>
      </c>
      <c r="P5" s="18">
        <f>B46*B47*B48/1000-B46*B47*B48/1000/B49</f>
        <v>19.066666666666666</v>
      </c>
      <c r="R5" s="33"/>
    </row>
    <row r="6" spans="1:18">
      <c r="A6" s="33" t="s">
        <v>53</v>
      </c>
      <c r="B6" s="38">
        <f>B26</f>
        <v>3606.7321391881201</v>
      </c>
      <c r="C6" s="34"/>
      <c r="D6" s="38">
        <f>IF(ISERROR(TER_kantoor_gas_kWh/1000),0,TER_kantoor_gas_kWh/1000)*0.902</f>
        <v>4897.8585222577931</v>
      </c>
      <c r="E6" s="34">
        <f>$C$26*'E Balans VL '!I12/100/3.6*1000000</f>
        <v>5.8917054079350031</v>
      </c>
      <c r="F6" s="34">
        <f>$C$26*('E Balans VL '!L12+'E Balans VL '!N12)/100/3.6*1000000</f>
        <v>423.72621187406224</v>
      </c>
      <c r="G6" s="35"/>
      <c r="H6" s="34"/>
      <c r="I6" s="34"/>
      <c r="J6" s="34">
        <f>$C$26*('E Balans VL '!D12+'E Balans VL '!E12)/100/3.6*1000000</f>
        <v>0</v>
      </c>
      <c r="K6" s="34"/>
      <c r="L6" s="34"/>
      <c r="M6" s="34"/>
      <c r="N6" s="34">
        <f>$C$26*'E Balans VL '!Y12/100/3.6*1000000</f>
        <v>26.261623016472416</v>
      </c>
      <c r="O6" s="34"/>
      <c r="P6" s="34"/>
      <c r="R6" s="33"/>
    </row>
    <row r="7" spans="1:18">
      <c r="A7" s="33" t="s">
        <v>52</v>
      </c>
      <c r="B7" s="38">
        <f t="shared" ref="B7:B12" si="0">B27</f>
        <v>2872.6490438614501</v>
      </c>
      <c r="C7" s="34"/>
      <c r="D7" s="38">
        <f>IF(ISERROR(TER_horeca_gas_kWh/1000),0,TER_horeca_gas_kWh/1000)*0.902</f>
        <v>4539.9827848690729</v>
      </c>
      <c r="E7" s="34">
        <f>$C$27*'E Balans VL '!I9/100/3.6*1000000</f>
        <v>148.62208968374432</v>
      </c>
      <c r="F7" s="34">
        <f>$C$27*('E Balans VL '!L9+'E Balans VL '!N9)/100/3.6*1000000</f>
        <v>653.57221688475715</v>
      </c>
      <c r="G7" s="35"/>
      <c r="H7" s="34"/>
      <c r="I7" s="34"/>
      <c r="J7" s="34">
        <f>$C$27*('E Balans VL '!D9+'E Balans VL '!E9)/100/3.6*1000000</f>
        <v>0</v>
      </c>
      <c r="K7" s="34"/>
      <c r="L7" s="34"/>
      <c r="M7" s="34"/>
      <c r="N7" s="34">
        <f>$C$27*'E Balans VL '!Y9/100/3.6*1000000</f>
        <v>0.30243973577115041</v>
      </c>
      <c r="O7" s="34"/>
      <c r="P7" s="34"/>
      <c r="R7" s="33"/>
    </row>
    <row r="8" spans="1:18">
      <c r="A8" s="6" t="s">
        <v>51</v>
      </c>
      <c r="B8" s="38">
        <f t="shared" si="0"/>
        <v>29408.9708713697</v>
      </c>
      <c r="C8" s="34"/>
      <c r="D8" s="38">
        <f>IF(ISERROR(TER_handel_gas_kWh/1000),0,TER_handel_gas_kWh/1000)*0.902</f>
        <v>4543.9682605185217</v>
      </c>
      <c r="E8" s="34">
        <f>$C$28*'E Balans VL '!I13/100/3.6*1000000</f>
        <v>154.47785439880386</v>
      </c>
      <c r="F8" s="34">
        <f>$C$28*('E Balans VL '!L13+'E Balans VL '!N13)/100/3.6*1000000</f>
        <v>5544.5759269346026</v>
      </c>
      <c r="G8" s="35"/>
      <c r="H8" s="34"/>
      <c r="I8" s="34"/>
      <c r="J8" s="34">
        <f>$C$28*('E Balans VL '!D13+'E Balans VL '!E13)/100/3.6*1000000</f>
        <v>0</v>
      </c>
      <c r="K8" s="34"/>
      <c r="L8" s="34"/>
      <c r="M8" s="34"/>
      <c r="N8" s="34">
        <f>$C$28*'E Balans VL '!Y13/100/3.6*1000000</f>
        <v>145.79626949072033</v>
      </c>
      <c r="O8" s="34"/>
      <c r="P8" s="34"/>
      <c r="R8" s="33"/>
    </row>
    <row r="9" spans="1:18">
      <c r="A9" s="33" t="s">
        <v>50</v>
      </c>
      <c r="B9" s="38">
        <f t="shared" si="0"/>
        <v>1729.59067230185</v>
      </c>
      <c r="C9" s="34"/>
      <c r="D9" s="38">
        <f>IF(ISERROR(TER_gezond_gas_kWh/1000),0,TER_gezond_gas_kWh/1000)*0.902</f>
        <v>7082.7265212014836</v>
      </c>
      <c r="E9" s="34">
        <f>$C$29*'E Balans VL '!I10/100/3.6*1000000</f>
        <v>1.5354328619006448</v>
      </c>
      <c r="F9" s="34">
        <f>$C$29*('E Balans VL '!L10+'E Balans VL '!N10)/100/3.6*1000000</f>
        <v>537.58308027819226</v>
      </c>
      <c r="G9" s="35"/>
      <c r="H9" s="34"/>
      <c r="I9" s="34"/>
      <c r="J9" s="34">
        <f>$C$29*('E Balans VL '!D10+'E Balans VL '!E10)/100/3.6*1000000</f>
        <v>0</v>
      </c>
      <c r="K9" s="34"/>
      <c r="L9" s="34"/>
      <c r="M9" s="34"/>
      <c r="N9" s="34">
        <f>$C$29*'E Balans VL '!Y10/100/3.6*1000000</f>
        <v>13.350696401206463</v>
      </c>
      <c r="O9" s="34"/>
      <c r="P9" s="34"/>
      <c r="R9" s="33"/>
    </row>
    <row r="10" spans="1:18">
      <c r="A10" s="33" t="s">
        <v>49</v>
      </c>
      <c r="B10" s="38">
        <f t="shared" si="0"/>
        <v>503.76099136437097</v>
      </c>
      <c r="C10" s="34"/>
      <c r="D10" s="38">
        <f>IF(ISERROR(TER_ander_gas_kWh/1000),0,TER_ander_gas_kWh/1000)*0.902</f>
        <v>2582.812895702757</v>
      </c>
      <c r="E10" s="34">
        <f>$C$30*'E Balans VL '!I14/100/3.6*1000000</f>
        <v>4.1088937280585034</v>
      </c>
      <c r="F10" s="34">
        <f>$C$30*('E Balans VL '!L14+'E Balans VL '!N14)/100/3.6*1000000</f>
        <v>146.83697609179254</v>
      </c>
      <c r="G10" s="35"/>
      <c r="H10" s="34"/>
      <c r="I10" s="34"/>
      <c r="J10" s="34">
        <f>$C$30*('E Balans VL '!D14+'E Balans VL '!E14)/100/3.6*1000000</f>
        <v>0</v>
      </c>
      <c r="K10" s="34"/>
      <c r="L10" s="34"/>
      <c r="M10" s="34"/>
      <c r="N10" s="34">
        <f>$C$30*'E Balans VL '!Y14/100/3.6*1000000</f>
        <v>239.26401503442861</v>
      </c>
      <c r="O10" s="34"/>
      <c r="P10" s="34"/>
      <c r="R10" s="33"/>
    </row>
    <row r="11" spans="1:18">
      <c r="A11" s="33" t="s">
        <v>54</v>
      </c>
      <c r="B11" s="38">
        <f t="shared" si="0"/>
        <v>621.8938330894141</v>
      </c>
      <c r="C11" s="34"/>
      <c r="D11" s="38">
        <f>IF(ISERROR(TER_onderwijs_gas_kWh/1000),0,TER_onderwijs_gas_kWh/1000)*0.902</f>
        <v>2148.3066716529306</v>
      </c>
      <c r="E11" s="34">
        <f>$C$31*'E Balans VL '!I11/100/3.6*1000000</f>
        <v>0.51882509772059782</v>
      </c>
      <c r="F11" s="34">
        <f>$C$31*('E Balans VL '!L11+'E Balans VL '!N11)/100/3.6*1000000</f>
        <v>325.43789190076126</v>
      </c>
      <c r="G11" s="35"/>
      <c r="H11" s="34"/>
      <c r="I11" s="34"/>
      <c r="J11" s="34">
        <f>$C$31*('E Balans VL '!D11+'E Balans VL '!E11)/100/3.6*1000000</f>
        <v>0</v>
      </c>
      <c r="K11" s="34"/>
      <c r="L11" s="34"/>
      <c r="M11" s="34"/>
      <c r="N11" s="34">
        <f>$C$31*'E Balans VL '!Y11/100/3.6*1000000</f>
        <v>2.7380635811374265</v>
      </c>
      <c r="O11" s="34"/>
      <c r="P11" s="34"/>
      <c r="R11" s="33"/>
    </row>
    <row r="12" spans="1:18">
      <c r="A12" s="33" t="s">
        <v>249</v>
      </c>
      <c r="B12" s="38">
        <f t="shared" si="0"/>
        <v>13579.5462270184</v>
      </c>
      <c r="C12" s="34"/>
      <c r="D12" s="38">
        <f>IF(ISERROR(TER_rest_gas_kWh/1000),0,TER_rest_gas_kWh/1000)*0.902</f>
        <v>23542.6555531294</v>
      </c>
      <c r="E12" s="34">
        <f>$C$32*'E Balans VL '!I8/100/3.6*1000000</f>
        <v>116.86846200369996</v>
      </c>
      <c r="F12" s="34">
        <f>$C$32*('E Balans VL '!L8+'E Balans VL '!N8)/100/3.6*1000000</f>
        <v>2645.6221289085602</v>
      </c>
      <c r="G12" s="35"/>
      <c r="H12" s="34"/>
      <c r="I12" s="34"/>
      <c r="J12" s="34">
        <f>$C$32*('E Balans VL '!D8+'E Balans VL '!E8)/100/3.6*1000000</f>
        <v>0</v>
      </c>
      <c r="K12" s="34"/>
      <c r="L12" s="34"/>
      <c r="M12" s="34"/>
      <c r="N12" s="34">
        <f>$C$32*'E Balans VL '!Y8/100/3.6*1000000</f>
        <v>780.37498981964654</v>
      </c>
      <c r="O12" s="34"/>
      <c r="P12" s="34"/>
      <c r="R12" s="33"/>
    </row>
    <row r="13" spans="1:18">
      <c r="A13" s="17" t="s">
        <v>488</v>
      </c>
      <c r="B13" s="246">
        <f ca="1">'lokale energieproductie'!N64+'lokale energieproductie'!N57</f>
        <v>1080</v>
      </c>
      <c r="C13" s="246">
        <f ca="1">'lokale energieproductie'!O64+'lokale energieproductie'!O57</f>
        <v>1542.8571428571429</v>
      </c>
      <c r="D13" s="305">
        <f ca="1">('lokale energieproductie'!P57+'lokale energieproductie'!P64)*(-1)</f>
        <v>-3085.7142857142858</v>
      </c>
      <c r="E13" s="247"/>
      <c r="F13" s="305">
        <f ca="1">('lokale energieproductie'!S57+'lokale energieproductie'!S64)*(-1)</f>
        <v>0</v>
      </c>
      <c r="G13" s="248"/>
      <c r="H13" s="247"/>
      <c r="I13" s="247"/>
      <c r="J13" s="247"/>
      <c r="K13" s="247"/>
      <c r="L13" s="305">
        <f ca="1">('lokale energieproductie'!U57+'lokale energieproductie'!T57+'lokale energieproductie'!U64+'lokale energieproductie'!T64)*(-1)</f>
        <v>0</v>
      </c>
      <c r="M13" s="247"/>
      <c r="N13" s="305">
        <f ca="1">('lokale energieproductie'!Q57+'lokale energieproductie'!R57+'lokale energieproductie'!V57+'lokale energieproductie'!Q64+'lokale energieproductie'!R64+'lokale energieproductie'!V64)*(-1)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53403.143778193305</v>
      </c>
      <c r="C16" s="22">
        <f t="shared" ca="1" si="1"/>
        <v>1542.8571428571429</v>
      </c>
      <c r="D16" s="22">
        <f t="shared" ca="1" si="1"/>
        <v>46252.596923617682</v>
      </c>
      <c r="E16" s="22">
        <f t="shared" si="1"/>
        <v>432.02326318186283</v>
      </c>
      <c r="F16" s="22">
        <f t="shared" ca="1" si="1"/>
        <v>10277.354432872728</v>
      </c>
      <c r="G16" s="22">
        <f t="shared" si="1"/>
        <v>0</v>
      </c>
      <c r="H16" s="22">
        <f t="shared" si="1"/>
        <v>0</v>
      </c>
      <c r="I16" s="22">
        <f t="shared" si="1"/>
        <v>0</v>
      </c>
      <c r="J16" s="22">
        <f t="shared" si="1"/>
        <v>0</v>
      </c>
      <c r="K16" s="22">
        <f t="shared" si="1"/>
        <v>0</v>
      </c>
      <c r="L16" s="22">
        <f t="shared" ca="1" si="1"/>
        <v>0</v>
      </c>
      <c r="M16" s="22">
        <f t="shared" si="1"/>
        <v>0</v>
      </c>
      <c r="N16" s="22">
        <f t="shared" ca="1" si="1"/>
        <v>1208.088097079383</v>
      </c>
      <c r="O16" s="22">
        <f>O5</f>
        <v>3.1266666666666669</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0.20434095258639309</v>
      </c>
      <c r="C18" s="26">
        <f ca="1">'EF ele_warmte'!B22</f>
        <v>0.2144918130005056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10912.449270744131</v>
      </c>
      <c r="C20" s="24">
        <f t="shared" ref="C20:P20" ca="1" si="2">C16*C18</f>
        <v>330.93022577220864</v>
      </c>
      <c r="D20" s="24">
        <f t="shared" ca="1" si="2"/>
        <v>9343.0245785707721</v>
      </c>
      <c r="E20" s="24">
        <f t="shared" si="2"/>
        <v>98.069280742282871</v>
      </c>
      <c r="F20" s="24">
        <f t="shared" ca="1" si="2"/>
        <v>2744.0536335770184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3606.7321391881201</v>
      </c>
      <c r="C26" s="40">
        <f>IF(ISERROR(B26*3.6/1000000/'E Balans VL '!Z12*100),0,B26*3.6/1000000/'E Balans VL '!Z12*100)</f>
        <v>7.6444890937810844E-2</v>
      </c>
      <c r="D26" s="236" t="s">
        <v>660</v>
      </c>
      <c r="F26" s="6"/>
    </row>
    <row r="27" spans="1:18">
      <c r="A27" s="231" t="s">
        <v>52</v>
      </c>
      <c r="B27" s="34">
        <f>IF(ISERROR(TER_horeca_ele_kWh/1000),0,TER_horeca_ele_kWh/1000)</f>
        <v>2872.6490438614501</v>
      </c>
      <c r="C27" s="40">
        <f>IF(ISERROR(B27*3.6/1000000/'E Balans VL '!Z9*100),0,B27*3.6/1000000/'E Balans VL '!Z9*100)</f>
        <v>0.22542092107166489</v>
      </c>
      <c r="D27" s="236" t="s">
        <v>660</v>
      </c>
      <c r="F27" s="6"/>
    </row>
    <row r="28" spans="1:18">
      <c r="A28" s="171" t="s">
        <v>51</v>
      </c>
      <c r="B28" s="34">
        <f>IF(ISERROR(TER_handel_ele_kWh/1000),0,TER_handel_ele_kWh/1000)</f>
        <v>29408.9708713697</v>
      </c>
      <c r="C28" s="40">
        <f>IF(ISERROR(B28*3.6/1000000/'E Balans VL '!Z13*100),0,B28*3.6/1000000/'E Balans VL '!Z13*100)</f>
        <v>0.82128800428052395</v>
      </c>
      <c r="D28" s="236" t="s">
        <v>660</v>
      </c>
      <c r="F28" s="6"/>
    </row>
    <row r="29" spans="1:18">
      <c r="A29" s="231" t="s">
        <v>50</v>
      </c>
      <c r="B29" s="34">
        <f>IF(ISERROR(TER_gezond_ele_kWh/1000),0,TER_gezond_ele_kWh/1000)</f>
        <v>1729.59067230185</v>
      </c>
      <c r="C29" s="40">
        <f>IF(ISERROR(B29*3.6/1000000/'E Balans VL '!Z10*100),0,B29*3.6/1000000/'E Balans VL '!Z10*100)</f>
        <v>0.19820992797471171</v>
      </c>
      <c r="D29" s="236" t="s">
        <v>660</v>
      </c>
      <c r="F29" s="6"/>
    </row>
    <row r="30" spans="1:18">
      <c r="A30" s="231" t="s">
        <v>49</v>
      </c>
      <c r="B30" s="34">
        <f>IF(ISERROR(TER_ander_ele_kWh/1000),0,TER_ander_ele_kWh/1000)</f>
        <v>503.76099136437097</v>
      </c>
      <c r="C30" s="40">
        <f>IF(ISERROR(B30*3.6/1000000/'E Balans VL '!Z14*100),0,B30*3.6/1000000/'E Balans VL '!Z14*100)</f>
        <v>3.7563967221054012E-2</v>
      </c>
      <c r="D30" s="236" t="s">
        <v>660</v>
      </c>
      <c r="F30" s="6"/>
    </row>
    <row r="31" spans="1:18">
      <c r="A31" s="231" t="s">
        <v>54</v>
      </c>
      <c r="B31" s="34">
        <f>IF(ISERROR(TER_onderwijs_ele_kWh/1000),0,TER_onderwijs_ele_kWh/1000)</f>
        <v>621.8938330894141</v>
      </c>
      <c r="C31" s="40">
        <f>IF(ISERROR(B31*3.6/1000000/'E Balans VL '!Z11*100),0,B31*3.6/1000000/'E Balans VL '!Z11*100)</f>
        <v>0.17773862909038793</v>
      </c>
      <c r="D31" s="236" t="s">
        <v>660</v>
      </c>
    </row>
    <row r="32" spans="1:18">
      <c r="A32" s="231" t="s">
        <v>249</v>
      </c>
      <c r="B32" s="34">
        <f>IF(ISERROR(TER_rest_ele_kWh/1000),0,TER_rest_ele_kWh/1000)</f>
        <v>13579.5462270184</v>
      </c>
      <c r="C32" s="40">
        <f>IF(ISERROR(B32*3.6/1000000/'E Balans VL '!Z8*100),0,B32*3.6/1000000/'E Balans VL '!Z8*100)</f>
        <v>0.11188701508886417</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5330.7837604821125</v>
      </c>
      <c r="C5" s="18">
        <f>IF(ISERROR('Eigen informatie GS &amp; warmtenet'!B59),0,'Eigen informatie GS &amp; warmtenet'!B59)</f>
        <v>0</v>
      </c>
      <c r="D5" s="31">
        <f>SUM(D6:D15)</f>
        <v>7743.9102153838267</v>
      </c>
      <c r="E5" s="18">
        <f>SUM(E6:E15)</f>
        <v>43.747130453520271</v>
      </c>
      <c r="F5" s="18">
        <f>SUM(F6:F15)</f>
        <v>1838.2436263730033</v>
      </c>
      <c r="G5" s="19"/>
      <c r="H5" s="18"/>
      <c r="I5" s="18"/>
      <c r="J5" s="18">
        <f>SUM(J6:J15)</f>
        <v>23.207654375363859</v>
      </c>
      <c r="K5" s="18"/>
      <c r="L5" s="18"/>
      <c r="M5" s="18"/>
      <c r="N5" s="18">
        <f>SUM(N6:N15)</f>
        <v>206.7129557836941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524.11458665345594</v>
      </c>
      <c r="C8" s="34"/>
      <c r="D8" s="38">
        <f>IF( ISERROR(IND_metaal_Gas_kWH/1000),0,IND_metaal_Gas_kWH/1000)*0.902</f>
        <v>336.75656608964698</v>
      </c>
      <c r="E8" s="34">
        <f>C30*'E Balans VL '!I18/100/3.6*1000000</f>
        <v>4.7730170887293699</v>
      </c>
      <c r="F8" s="34">
        <f>C30*'E Balans VL '!L18/100/3.6*1000000+C30*'E Balans VL '!N18/100/3.6*1000000</f>
        <v>69.126733785057795</v>
      </c>
      <c r="G8" s="35"/>
      <c r="H8" s="34"/>
      <c r="I8" s="34"/>
      <c r="J8" s="41">
        <f>C30*'E Balans VL '!D18/100/3.6*1000000+C30*'E Balans VL '!E18/100/3.6*1000000</f>
        <v>8.5947182341391759</v>
      </c>
      <c r="K8" s="34"/>
      <c r="L8" s="34"/>
      <c r="M8" s="34"/>
      <c r="N8" s="34">
        <f>C30*'E Balans VL '!Y18/100/3.6*1000000</f>
        <v>1.8011736303424632</v>
      </c>
      <c r="O8" s="34"/>
      <c r="P8" s="34"/>
      <c r="R8" s="33"/>
    </row>
    <row r="9" spans="1:18">
      <c r="A9" s="6" t="s">
        <v>32</v>
      </c>
      <c r="B9" s="38">
        <f t="shared" si="0"/>
        <v>1443.6360799506399</v>
      </c>
      <c r="C9" s="34"/>
      <c r="D9" s="38">
        <f>IF( ISERROR(IND_andere_gas_kWh/1000),0,IND_andere_gas_kWh/1000)*0.902</f>
        <v>1941.0860157686125</v>
      </c>
      <c r="E9" s="34">
        <f>C31*'E Balans VL '!I19/100/3.6*1000000</f>
        <v>8.3444322756828804</v>
      </c>
      <c r="F9" s="34">
        <f>C31*'E Balans VL '!L19/100/3.6*1000000+C31*'E Balans VL '!N19/100/3.6*1000000</f>
        <v>1148.4819666200694</v>
      </c>
      <c r="G9" s="35"/>
      <c r="H9" s="34"/>
      <c r="I9" s="34"/>
      <c r="J9" s="41">
        <f>C31*'E Balans VL '!D19/100/3.6*1000000+C31*'E Balans VL '!E19/100/3.6*1000000</f>
        <v>0.13655193770793944</v>
      </c>
      <c r="K9" s="34"/>
      <c r="L9" s="34"/>
      <c r="M9" s="34"/>
      <c r="N9" s="34">
        <f>C31*'E Balans VL '!Y19/100/3.6*1000000</f>
        <v>109.37728004461674</v>
      </c>
      <c r="O9" s="34"/>
      <c r="P9" s="34"/>
      <c r="R9" s="33"/>
    </row>
    <row r="10" spans="1:18">
      <c r="A10" s="6" t="s">
        <v>40</v>
      </c>
      <c r="B10" s="38">
        <f t="shared" si="0"/>
        <v>484.70049593724599</v>
      </c>
      <c r="C10" s="34"/>
      <c r="D10" s="38">
        <f>IF( ISERROR(IND_voed_gas_kWh/1000),0,IND_voed_gas_kWh/1000)*0.902</f>
        <v>374.59710488453061</v>
      </c>
      <c r="E10" s="34">
        <f>C32*'E Balans VL '!I20/100/3.6*1000000</f>
        <v>4.7658739249028139</v>
      </c>
      <c r="F10" s="34">
        <f>C32*'E Balans VL '!L20/100/3.6*1000000+C32*'E Balans VL '!N20/100/3.6*1000000</f>
        <v>53.832316697041051</v>
      </c>
      <c r="G10" s="35"/>
      <c r="H10" s="34"/>
      <c r="I10" s="34"/>
      <c r="J10" s="41">
        <f>C32*'E Balans VL '!D20/100/3.6*1000000+C32*'E Balans VL '!E20/100/3.6*1000000</f>
        <v>1.9104246952734809E-3</v>
      </c>
      <c r="K10" s="34"/>
      <c r="L10" s="34"/>
      <c r="M10" s="34"/>
      <c r="N10" s="34">
        <f>C32*'E Balans VL '!Y20/100/3.6*1000000</f>
        <v>7.1772742090850503</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2878.33259794077</v>
      </c>
      <c r="C15" s="34"/>
      <c r="D15" s="38">
        <f>IF( ISERROR(IND_rest_gas_kWh/1000),0,IND_rest_gas_kWh/1000)*0.902</f>
        <v>5091.4705286410363</v>
      </c>
      <c r="E15" s="34">
        <f>C37*'E Balans VL '!I15/100/3.6*1000000</f>
        <v>25.863807164205209</v>
      </c>
      <c r="F15" s="34">
        <f>C37*'E Balans VL '!L15/100/3.6*1000000+C37*'E Balans VL '!N15/100/3.6*1000000</f>
        <v>566.80260927083509</v>
      </c>
      <c r="G15" s="35"/>
      <c r="H15" s="34"/>
      <c r="I15" s="34"/>
      <c r="J15" s="41">
        <f>C37*'E Balans VL '!D15/100/3.6*1000000+C37*'E Balans VL '!E15/100/3.6*1000000</f>
        <v>14.474473778821473</v>
      </c>
      <c r="K15" s="34"/>
      <c r="L15" s="34"/>
      <c r="M15" s="34"/>
      <c r="N15" s="34">
        <f>C37*'E Balans VL '!Y15/100/3.6*1000000</f>
        <v>88.357227899649857</v>
      </c>
      <c r="O15" s="34"/>
      <c r="P15" s="34"/>
      <c r="R15" s="33"/>
    </row>
    <row r="16" spans="1:18">
      <c r="A16" s="17" t="s">
        <v>488</v>
      </c>
      <c r="B16" s="246">
        <f>'lokale energieproductie'!N63+'lokale energieproductie'!N56</f>
        <v>0</v>
      </c>
      <c r="C16" s="246">
        <f>'lokale energieproductie'!O63+'lokale energieproductie'!O56</f>
        <v>0</v>
      </c>
      <c r="D16" s="305">
        <f>('lokale energieproductie'!P56+'lokale energieproductie'!P63)*(-1)</f>
        <v>0</v>
      </c>
      <c r="E16" s="247"/>
      <c r="F16" s="305">
        <f>('lokale energieproductie'!S56+'lokale energieproductie'!S63)*(-1)</f>
        <v>0</v>
      </c>
      <c r="G16" s="248"/>
      <c r="H16" s="247"/>
      <c r="I16" s="247"/>
      <c r="J16" s="247"/>
      <c r="K16" s="247"/>
      <c r="L16" s="305">
        <f>('lokale energieproductie'!T56+'lokale energieproductie'!U56+'lokale energieproductie'!T63+'lokale energieproductie'!U63)*(-1)</f>
        <v>0</v>
      </c>
      <c r="M16" s="247"/>
      <c r="N16" s="305">
        <f>('lokale energieproductie'!Q56+'lokale energieproductie'!R56+'lokale energieproductie'!V56+'lokale energieproductie'!Q63+'lokale energieproductie'!R63+'lokale energieproductie'!V63)*(-1)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5330.7837604821125</v>
      </c>
      <c r="C18" s="22">
        <f>C5+C16</f>
        <v>0</v>
      </c>
      <c r="D18" s="22">
        <f>MAX((D5+D16),0)</f>
        <v>7743.9102153838267</v>
      </c>
      <c r="E18" s="22">
        <f>MAX((E5+E16),0)</f>
        <v>43.747130453520271</v>
      </c>
      <c r="F18" s="22">
        <f>MAX((F5+F16),0)</f>
        <v>1838.2436263730033</v>
      </c>
      <c r="G18" s="22"/>
      <c r="H18" s="22"/>
      <c r="I18" s="22"/>
      <c r="J18" s="22">
        <f>MAX((J5+J16),0)</f>
        <v>23.207654375363859</v>
      </c>
      <c r="K18" s="22"/>
      <c r="L18" s="22">
        <f>MAX((L5+L16),0)</f>
        <v>0</v>
      </c>
      <c r="M18" s="22"/>
      <c r="N18" s="22">
        <f>MAX((N5+N16),0)</f>
        <v>206.7129557836941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0.20434095258639309</v>
      </c>
      <c r="C20" s="26">
        <f ca="1">'EF ele_warmte'!B22</f>
        <v>0.2144918130005056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1089.2974316489897</v>
      </c>
      <c r="C22" s="24">
        <f ca="1">C18*C20</f>
        <v>0</v>
      </c>
      <c r="D22" s="24">
        <f>D18*D20</f>
        <v>1564.269863507533</v>
      </c>
      <c r="E22" s="24">
        <f>E18*E20</f>
        <v>9.9305986129491011</v>
      </c>
      <c r="F22" s="24">
        <f>F18*F20</f>
        <v>490.81104824159189</v>
      </c>
      <c r="G22" s="24"/>
      <c r="H22" s="24"/>
      <c r="I22" s="24"/>
      <c r="J22" s="24">
        <f>J18*J20</f>
        <v>8.2155096488788057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524.11458665345594</v>
      </c>
      <c r="C30" s="40">
        <f>IF(ISERROR(B30*3.6/1000000/'E Balans VL '!Z18*100),0,B30*3.6/1000000/'E Balans VL '!Z18*100)</f>
        <v>2.9163472023093492E-2</v>
      </c>
      <c r="D30" s="236" t="s">
        <v>660</v>
      </c>
    </row>
    <row r="31" spans="1:18">
      <c r="A31" s="6" t="s">
        <v>32</v>
      </c>
      <c r="B31" s="38">
        <f>IF( ISERROR(IND_ander_ele_kWh/1000),0,IND_ander_ele_kWh/1000)</f>
        <v>1443.6360799506399</v>
      </c>
      <c r="C31" s="40">
        <f>IF(ISERROR(B31*3.6/1000000/'E Balans VL '!Z19*100),0,B31*3.6/1000000/'E Balans VL '!Z19*100)</f>
        <v>6.7110849931547034E-2</v>
      </c>
      <c r="D31" s="236" t="s">
        <v>660</v>
      </c>
    </row>
    <row r="32" spans="1:18">
      <c r="A32" s="171" t="s">
        <v>40</v>
      </c>
      <c r="B32" s="38">
        <f>IF( ISERROR(IND_voed_ele_kWh/1000),0,IND_voed_ele_kWh/1000)</f>
        <v>484.70049593724599</v>
      </c>
      <c r="C32" s="40">
        <f>IF(ISERROR(B32*3.6/1000000/'E Balans VL '!Z20*100),0,B32*3.6/1000000/'E Balans VL '!Z20*100)</f>
        <v>1.7133183637273505E-2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2878.33259794077</v>
      </c>
      <c r="C37" s="40">
        <f>IF(ISERROR(B37*3.6/1000000/'E Balans VL '!Z15*100),0,B37*3.6/1000000/'E Balans VL '!Z15*100)</f>
        <v>2.1735663054656972E-2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6555.4258273105916</v>
      </c>
      <c r="C5" s="18">
        <f>'Eigen informatie GS &amp; warmtenet'!B60</f>
        <v>0</v>
      </c>
      <c r="D5" s="31">
        <f>IF(ISERROR(SUM(LB_lb_gas_kWh,LB_rest_gas_kWh)/1000),0,SUM(LB_lb_gas_kWh,LB_rest_gas_kWh)/1000)*0.902</f>
        <v>440079.73518637993</v>
      </c>
      <c r="E5" s="18">
        <f>B17*'E Balans VL '!I25/3.6*1000000/100</f>
        <v>64.736023187299494</v>
      </c>
      <c r="F5" s="18">
        <f>B17*('E Balans VL '!L25/3.6*1000000+'E Balans VL '!N25/3.6*1000000)/100</f>
        <v>21870.635112268355</v>
      </c>
      <c r="G5" s="19"/>
      <c r="H5" s="18"/>
      <c r="I5" s="18"/>
      <c r="J5" s="18">
        <f>('E Balans VL '!D25+'E Balans VL '!E25)/3.6*1000000*landbouw!B17/100</f>
        <v>654.03252627449126</v>
      </c>
      <c r="K5" s="18"/>
      <c r="L5" s="18">
        <f>L6*(-1)</f>
        <v>46080</v>
      </c>
      <c r="M5" s="18"/>
      <c r="N5" s="18">
        <f>N6*(-1)</f>
        <v>28.928571428571431</v>
      </c>
      <c r="O5" s="18"/>
      <c r="P5" s="18"/>
      <c r="R5" s="33"/>
    </row>
    <row r="6" spans="1:18">
      <c r="A6" s="17" t="s">
        <v>488</v>
      </c>
      <c r="B6" s="18" t="s">
        <v>204</v>
      </c>
      <c r="C6" s="18">
        <f>'lokale energieproductie'!O65+'lokale energieproductie'!O58</f>
        <v>213014.25</v>
      </c>
      <c r="D6" s="305">
        <f>('lokale energieproductie'!P58+'lokale energieproductie'!P65)*(-1)</f>
        <v>-374078.57142857142</v>
      </c>
      <c r="E6" s="247"/>
      <c r="F6" s="305">
        <f>('lokale energieproductie'!S58+'lokale energieproductie'!S65)*(-1)</f>
        <v>-11610</v>
      </c>
      <c r="G6" s="248"/>
      <c r="H6" s="247"/>
      <c r="I6" s="247"/>
      <c r="J6" s="247"/>
      <c r="K6" s="247"/>
      <c r="L6" s="305">
        <f>('lokale energieproductie'!T58+'lokale energieproductie'!U58+'lokale energieproductie'!T65+'lokale energieproductie'!U65)*(-1)</f>
        <v>-46080</v>
      </c>
      <c r="M6" s="247"/>
      <c r="N6" s="305">
        <f>('lokale energieproductie'!V58+'lokale energieproductie'!R58+'lokale energieproductie'!Q58+'lokale energieproductie'!Q65+'lokale energieproductie'!R65+'lokale energieproductie'!V65)*(-1)</f>
        <v>-28.928571428571431</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6555.4258273105916</v>
      </c>
      <c r="C8" s="22">
        <f>C5+C6</f>
        <v>213014.25</v>
      </c>
      <c r="D8" s="22">
        <f>MAX((D5+D6),0)</f>
        <v>66001.163757808506</v>
      </c>
      <c r="E8" s="22">
        <f>MAX((E5+E6),0)</f>
        <v>64.736023187299494</v>
      </c>
      <c r="F8" s="22">
        <f>MAX((F5+F6),0)</f>
        <v>10260.635112268355</v>
      </c>
      <c r="G8" s="22"/>
      <c r="H8" s="22"/>
      <c r="I8" s="22"/>
      <c r="J8" s="22">
        <f>MAX((J5+J6),0)</f>
        <v>654.03252627449126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0.20434095258639309</v>
      </c>
      <c r="C10" s="32">
        <f ca="1">'EF ele_warmte'!B22</f>
        <v>0.2144918130005056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1339.5419581620904</v>
      </c>
      <c r="C12" s="24">
        <f ca="1">C8*C10</f>
        <v>45689.812677442947</v>
      </c>
      <c r="D12" s="24">
        <f>D8*D10</f>
        <v>13332.23507907732</v>
      </c>
      <c r="E12" s="24">
        <f>E8*E10</f>
        <v>14.695077263516986</v>
      </c>
      <c r="F12" s="24">
        <f>F8*F10</f>
        <v>2739.589574975651</v>
      </c>
      <c r="G12" s="24"/>
      <c r="H12" s="24"/>
      <c r="I12" s="24"/>
      <c r="J12" s="24">
        <f>J8*J10</f>
        <v>231.5275143011699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0.88749990466174911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88.081196001448632</v>
      </c>
      <c r="C26" s="246">
        <f>B26*'GWP N2O_CH4'!B5</f>
        <v>1849.7051160304213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12.907519557188174</v>
      </c>
      <c r="C27" s="246">
        <f>B27*'GWP N2O_CH4'!B5</f>
        <v>271.05791070095165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1.2382602334155999</v>
      </c>
      <c r="C28" s="246">
        <f>B28*'GWP N2O_CH4'!B4</f>
        <v>383.86067235883598</v>
      </c>
      <c r="D28" s="51"/>
    </row>
    <row r="29" spans="1:4">
      <c r="A29" s="42" t="s">
        <v>266</v>
      </c>
      <c r="B29" s="246">
        <f>B34*'ha_N2O bodem landbouw'!B4</f>
        <v>6.0999935286793567</v>
      </c>
      <c r="C29" s="246">
        <f>B29*'GWP N2O_CH4'!B4</f>
        <v>1890.9979938906006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1.6468062233194313E-3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1.0936616412208994E-5</v>
      </c>
      <c r="C5" s="433" t="s">
        <v>204</v>
      </c>
      <c r="D5" s="418">
        <f>SUM(D6:D11)</f>
        <v>1.3952316167282077E-5</v>
      </c>
      <c r="E5" s="418">
        <f>SUM(E6:E11)</f>
        <v>8.886056999951712E-4</v>
      </c>
      <c r="F5" s="431" t="s">
        <v>204</v>
      </c>
      <c r="G5" s="418">
        <f>SUM(G6:G11)</f>
        <v>0.18239250056390882</v>
      </c>
      <c r="H5" s="418">
        <f>SUM(H6:H11)</f>
        <v>3.5499964435979775E-2</v>
      </c>
      <c r="I5" s="433" t="s">
        <v>204</v>
      </c>
      <c r="J5" s="433" t="s">
        <v>204</v>
      </c>
      <c r="K5" s="433" t="s">
        <v>204</v>
      </c>
      <c r="L5" s="433" t="s">
        <v>204</v>
      </c>
      <c r="M5" s="418">
        <f>SUM(M6:M11)</f>
        <v>9.741769702792679E-3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8.5188946109678152E-6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9.8803679820205232E-6</v>
      </c>
      <c r="E6" s="421">
        <f>vkm_GW_PW*SUMIFS(TableVerdeelsleutelVkm[LPG],TableVerdeelsleutelVkm[Voertuigtype],"Lichte voertuigen")*SUMIFS(TableECFTransport[EnergieConsumptieFactor (PJ per km)],TableECFTransport[Index],CONCATENATE($A6,"_LPG_LPG"))</f>
        <v>6.3951990841559325E-4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0.10083421988655387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2.5497273226236718E-2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5.6546060767519472E-3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2.4588776048803308E-7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4.0674981110561802E-2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1.2676344683040353E-6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1.8099120402950109E-3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2.1541639172177632E-6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4.0719481852615533E-6</v>
      </c>
      <c r="E8" s="421">
        <f>vkm_NGW_PW*SUMIFS(TableVerdeelsleutelVkm[LPG],TableVerdeelsleutelVkm[Voertuigtype],"Lichte voertuigen")*SUMIFS(TableECFTransport[EnergieConsumptieFactor (PJ per km)],TableECFTransport[Index],CONCATENATE($A8,"_LPG_LPG"))</f>
        <v>2.4908579157957795E-4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3.7134993386539195E-2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1.0001313620736243E-2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2.1104637589945811E-3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1.7670123535382171E-8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3.7483061802539679E-3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1.0995453851125012E-7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1.6678782675113923E-4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3.0379490033913874</v>
      </c>
      <c r="C14" s="22"/>
      <c r="D14" s="22">
        <f t="shared" ref="D14:M14" si="0">((D5)*10^9/3600)+D12</f>
        <v>3.8756433798005769</v>
      </c>
      <c r="E14" s="22">
        <f t="shared" si="0"/>
        <v>246.83491666532532</v>
      </c>
      <c r="F14" s="22"/>
      <c r="G14" s="22">
        <f t="shared" si="0"/>
        <v>50664.58348997467</v>
      </c>
      <c r="H14" s="22">
        <f t="shared" si="0"/>
        <v>9861.1012322166043</v>
      </c>
      <c r="I14" s="22"/>
      <c r="J14" s="22"/>
      <c r="K14" s="22"/>
      <c r="L14" s="22"/>
      <c r="M14" s="22">
        <f t="shared" si="0"/>
        <v>2706.0471396646335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0.20434095258639309</v>
      </c>
      <c r="C16" s="57">
        <f ca="1">'EF ele_warmte'!B22</f>
        <v>0.2144918130005056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0.62077739326187964</v>
      </c>
      <c r="C18" s="24"/>
      <c r="D18" s="24">
        <f t="shared" ref="D18:M18" si="1">D14*D16</f>
        <v>0.7828799627197166</v>
      </c>
      <c r="E18" s="24">
        <f t="shared" si="1"/>
        <v>56.031526083028851</v>
      </c>
      <c r="F18" s="24"/>
      <c r="G18" s="24">
        <f t="shared" si="1"/>
        <v>13527.443791823238</v>
      </c>
      <c r="H18" s="24">
        <f t="shared" si="1"/>
        <v>2455.4142068219344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4.6606351290491956E-5</v>
      </c>
      <c r="C50" s="316">
        <f t="shared" ref="C50:P50" si="2">SUM(C51:C52)</f>
        <v>0</v>
      </c>
      <c r="D50" s="316">
        <f t="shared" si="2"/>
        <v>0</v>
      </c>
      <c r="E50" s="316">
        <f t="shared" si="2"/>
        <v>0</v>
      </c>
      <c r="F50" s="316">
        <f t="shared" si="2"/>
        <v>0</v>
      </c>
      <c r="G50" s="316">
        <f t="shared" si="2"/>
        <v>9.295728909828372E-3</v>
      </c>
      <c r="H50" s="316">
        <f t="shared" si="2"/>
        <v>0</v>
      </c>
      <c r="I50" s="316">
        <f t="shared" si="2"/>
        <v>0</v>
      </c>
      <c r="J50" s="316">
        <f t="shared" si="2"/>
        <v>0</v>
      </c>
      <c r="K50" s="316">
        <f t="shared" si="2"/>
        <v>0</v>
      </c>
      <c r="L50" s="316">
        <f t="shared" si="2"/>
        <v>0</v>
      </c>
      <c r="M50" s="316">
        <f t="shared" si="2"/>
        <v>4.1086131746410112E-4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4.6606351290491956E-5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9.295728909828372E-3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4.1086131746410112E-4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12.946208691803321</v>
      </c>
      <c r="C54" s="22">
        <f t="shared" ref="C54:P54" si="3">(C50)*10^9/3600</f>
        <v>0</v>
      </c>
      <c r="D54" s="22">
        <f t="shared" si="3"/>
        <v>0</v>
      </c>
      <c r="E54" s="22">
        <f t="shared" si="3"/>
        <v>0</v>
      </c>
      <c r="F54" s="22">
        <f t="shared" si="3"/>
        <v>0</v>
      </c>
      <c r="G54" s="22">
        <f t="shared" si="3"/>
        <v>2582.14691939677</v>
      </c>
      <c r="H54" s="22">
        <f t="shared" si="3"/>
        <v>0</v>
      </c>
      <c r="I54" s="22">
        <f t="shared" si="3"/>
        <v>0</v>
      </c>
      <c r="J54" s="22">
        <f t="shared" si="3"/>
        <v>0</v>
      </c>
      <c r="K54" s="22">
        <f t="shared" si="3"/>
        <v>0</v>
      </c>
      <c r="L54" s="22">
        <f t="shared" si="3"/>
        <v>0</v>
      </c>
      <c r="M54" s="22">
        <f t="shared" si="3"/>
        <v>114.12814374002809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0.20434095258639309</v>
      </c>
      <c r="C56" s="57">
        <f ca="1">'EF ele_warmte'!B22</f>
        <v>0.2144918130005056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2.6454406164653324</v>
      </c>
      <c r="C58" s="24">
        <f t="shared" ref="C58:P58" ca="1" si="4">C54*C56</f>
        <v>0</v>
      </c>
      <c r="D58" s="24">
        <f t="shared" si="4"/>
        <v>0</v>
      </c>
      <c r="E58" s="24">
        <f t="shared" si="4"/>
        <v>0</v>
      </c>
      <c r="F58" s="24">
        <f t="shared" si="4"/>
        <v>0</v>
      </c>
      <c r="G58" s="24">
        <f t="shared" si="4"/>
        <v>689.43322747893762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77"/>
  <sheetViews>
    <sheetView showGridLines="0" topLeftCell="F1" zoomScale="65" zoomScaleNormal="65" workbookViewId="0">
      <selection activeCell="A28" sqref="A28:XFD55"/>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7704.4455287449073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N55</f>
        <v>155093.625</v>
      </c>
      <c r="C8" s="544">
        <f>B74</f>
        <v>158246.07177934033</v>
      </c>
      <c r="D8" s="931"/>
      <c r="E8" s="931">
        <f>E74</f>
        <v>4871.1846878044771</v>
      </c>
      <c r="F8" s="932"/>
      <c r="G8" s="545"/>
      <c r="H8" s="931">
        <f>I74</f>
        <v>0</v>
      </c>
      <c r="I8" s="931">
        <f>G74+F74</f>
        <v>19333.694264774356</v>
      </c>
      <c r="J8" s="931">
        <f>H74+D74+C74</f>
        <v>12.1375033749281</v>
      </c>
      <c r="K8" s="931"/>
      <c r="L8" s="931"/>
      <c r="M8" s="931"/>
      <c r="N8" s="546"/>
      <c r="O8" s="547">
        <f>C8*$C$12+D8*$D$12+E8*$E$12+F8*$F$12+G8*$G$12+H8*$H$12+I8*$I$12+J8*$J$12</f>
        <v>33266.312811070544</v>
      </c>
      <c r="P8" s="1206"/>
      <c r="Q8" s="1207"/>
      <c r="S8" s="968"/>
      <c r="T8" s="1227"/>
      <c r="U8" s="1227"/>
    </row>
    <row r="9" spans="1:21" s="532" customFormat="1" ht="17.45" customHeight="1" thickBot="1">
      <c r="A9" s="548" t="s">
        <v>237</v>
      </c>
      <c r="B9" s="933">
        <f>N62+'Eigen informatie GS &amp; warmtenet'!B12</f>
        <v>0</v>
      </c>
      <c r="C9" s="549">
        <f>P62+IF(ISERROR(('Eigen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S62+IF(ISERROR('Eigen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W62+IF(ISERROR('Eigen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(T62+U62)+IF(ISERROR('Eigen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V62+Q62+R62+IF(ISERROR('Eigen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162798.07052874489</v>
      </c>
      <c r="C10" s="556">
        <f t="shared" ref="C10:L10" si="0">SUM(C8:C9)</f>
        <v>158246.07177934033</v>
      </c>
      <c r="D10" s="556">
        <f t="shared" si="0"/>
        <v>0</v>
      </c>
      <c r="E10" s="556">
        <f t="shared" si="0"/>
        <v>4871.1846878044771</v>
      </c>
      <c r="F10" s="556">
        <f t="shared" si="0"/>
        <v>0</v>
      </c>
      <c r="G10" s="556">
        <f t="shared" si="0"/>
        <v>0</v>
      </c>
      <c r="H10" s="556">
        <f t="shared" si="0"/>
        <v>0</v>
      </c>
      <c r="I10" s="556">
        <f t="shared" si="0"/>
        <v>19333.694264774356</v>
      </c>
      <c r="J10" s="556">
        <f t="shared" si="0"/>
        <v>12.1375033749281</v>
      </c>
      <c r="K10" s="556">
        <f t="shared" si="0"/>
        <v>0</v>
      </c>
      <c r="L10" s="556">
        <f t="shared" si="0"/>
        <v>0</v>
      </c>
      <c r="M10" s="935"/>
      <c r="N10" s="935"/>
      <c r="O10" s="557">
        <f>SUM(O4:O9)</f>
        <v>33266.312811070544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O55</f>
        <v>214557.10714285713</v>
      </c>
      <c r="C17" s="568">
        <f>B75</f>
        <v>218918.21393494532</v>
      </c>
      <c r="D17" s="569"/>
      <c r="E17" s="569">
        <f>E75</f>
        <v>6738.815312195522</v>
      </c>
      <c r="F17" s="570"/>
      <c r="G17" s="571"/>
      <c r="H17" s="568">
        <f>I75</f>
        <v>0</v>
      </c>
      <c r="I17" s="569">
        <f>G75+F75</f>
        <v>26746.305735225636</v>
      </c>
      <c r="J17" s="569">
        <f>H75+D75+C75</f>
        <v>16.791068053643329</v>
      </c>
      <c r="K17" s="569"/>
      <c r="L17" s="569"/>
      <c r="M17" s="569"/>
      <c r="N17" s="938"/>
      <c r="O17" s="572">
        <f>C17*$C$22+E17*$E$22+H17*$H$22+I17*$I$22+J17*$J$22+D17*$D$22+F17*$F$22+G17*$G$22+K17*$K$22+L17*$L$22</f>
        <v>46020.742903215156</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214557.10714285713</v>
      </c>
      <c r="C20" s="555">
        <f>SUM(C17:C19)</f>
        <v>218918.21393494532</v>
      </c>
      <c r="D20" s="555">
        <f t="shared" ref="D20:L20" si="1">SUM(D17:D19)</f>
        <v>0</v>
      </c>
      <c r="E20" s="555">
        <f t="shared" si="1"/>
        <v>6738.815312195522</v>
      </c>
      <c r="F20" s="555">
        <f t="shared" si="1"/>
        <v>0</v>
      </c>
      <c r="G20" s="555">
        <f t="shared" si="1"/>
        <v>0</v>
      </c>
      <c r="H20" s="555">
        <f t="shared" si="1"/>
        <v>0</v>
      </c>
      <c r="I20" s="555">
        <f t="shared" si="1"/>
        <v>26746.305735225636</v>
      </c>
      <c r="J20" s="555">
        <f t="shared" si="1"/>
        <v>16.791068053643329</v>
      </c>
      <c r="K20" s="555">
        <f t="shared" si="1"/>
        <v>0</v>
      </c>
      <c r="L20" s="555">
        <f t="shared" si="1"/>
        <v>0</v>
      </c>
      <c r="M20" s="555"/>
      <c r="N20" s="555"/>
      <c r="O20" s="576">
        <f>SUM(O17:O19)</f>
        <v>46020.742903215156</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12035</v>
      </c>
      <c r="C28" s="740">
        <v>2861</v>
      </c>
      <c r="D28" s="628"/>
      <c r="E28" s="627"/>
      <c r="F28" s="627"/>
      <c r="G28" s="627" t="s">
        <v>942</v>
      </c>
      <c r="H28" s="627" t="s">
        <v>943</v>
      </c>
      <c r="I28" s="627"/>
      <c r="J28" s="739"/>
      <c r="K28" s="739"/>
      <c r="L28" s="627" t="s">
        <v>944</v>
      </c>
      <c r="M28" s="627">
        <v>1984</v>
      </c>
      <c r="N28" s="627">
        <v>8928</v>
      </c>
      <c r="O28" s="627">
        <v>12754.285714285714</v>
      </c>
      <c r="P28" s="627">
        <v>25508.571428571431</v>
      </c>
      <c r="Q28" s="627">
        <v>0</v>
      </c>
      <c r="R28" s="627">
        <v>0</v>
      </c>
      <c r="S28" s="627">
        <v>0</v>
      </c>
      <c r="T28" s="627">
        <v>0</v>
      </c>
      <c r="U28" s="627">
        <v>0</v>
      </c>
      <c r="V28" s="627">
        <v>0</v>
      </c>
      <c r="W28" s="627"/>
      <c r="X28" s="627"/>
      <c r="Y28" s="627">
        <v>10</v>
      </c>
      <c r="Z28" s="627" t="s">
        <v>105</v>
      </c>
      <c r="AA28" s="629" t="s">
        <v>105</v>
      </c>
    </row>
    <row r="29" spans="1:27" s="581" customFormat="1" ht="25.5" hidden="1">
      <c r="A29" s="580"/>
      <c r="B29" s="740">
        <v>12035</v>
      </c>
      <c r="C29" s="740">
        <v>2861</v>
      </c>
      <c r="D29" s="628"/>
      <c r="E29" s="627"/>
      <c r="F29" s="627"/>
      <c r="G29" s="627" t="s">
        <v>942</v>
      </c>
      <c r="H29" s="627" t="s">
        <v>943</v>
      </c>
      <c r="I29" s="627"/>
      <c r="J29" s="739"/>
      <c r="K29" s="739"/>
      <c r="L29" s="627" t="s">
        <v>944</v>
      </c>
      <c r="M29" s="627">
        <v>1564</v>
      </c>
      <c r="N29" s="627">
        <v>7038</v>
      </c>
      <c r="O29" s="627">
        <v>10054.285714285714</v>
      </c>
      <c r="P29" s="627">
        <v>20108.571428571431</v>
      </c>
      <c r="Q29" s="627">
        <v>0</v>
      </c>
      <c r="R29" s="627">
        <v>0</v>
      </c>
      <c r="S29" s="627">
        <v>0</v>
      </c>
      <c r="T29" s="627">
        <v>0</v>
      </c>
      <c r="U29" s="627">
        <v>0</v>
      </c>
      <c r="V29" s="627">
        <v>0</v>
      </c>
      <c r="W29" s="627"/>
      <c r="X29" s="627"/>
      <c r="Y29" s="627">
        <v>10</v>
      </c>
      <c r="Z29" s="627" t="s">
        <v>105</v>
      </c>
      <c r="AA29" s="629" t="s">
        <v>105</v>
      </c>
    </row>
    <row r="30" spans="1:27" s="581" customFormat="1" ht="25.5" hidden="1">
      <c r="A30" s="580"/>
      <c r="B30" s="740">
        <v>12035</v>
      </c>
      <c r="C30" s="740">
        <v>2861</v>
      </c>
      <c r="D30" s="628"/>
      <c r="E30" s="627"/>
      <c r="F30" s="627"/>
      <c r="G30" s="627" t="s">
        <v>942</v>
      </c>
      <c r="H30" s="627" t="s">
        <v>943</v>
      </c>
      <c r="I30" s="627"/>
      <c r="J30" s="739"/>
      <c r="K30" s="739"/>
      <c r="L30" s="627" t="s">
        <v>944</v>
      </c>
      <c r="M30" s="627">
        <v>1006</v>
      </c>
      <c r="N30" s="627">
        <v>4527</v>
      </c>
      <c r="O30" s="627">
        <v>6467.1428571428569</v>
      </c>
      <c r="P30" s="627">
        <v>12934.285714285716</v>
      </c>
      <c r="Q30" s="627">
        <v>0</v>
      </c>
      <c r="R30" s="627">
        <v>0</v>
      </c>
      <c r="S30" s="627">
        <v>0</v>
      </c>
      <c r="T30" s="627">
        <v>0</v>
      </c>
      <c r="U30" s="627">
        <v>0</v>
      </c>
      <c r="V30" s="627">
        <v>0</v>
      </c>
      <c r="W30" s="627"/>
      <c r="X30" s="627"/>
      <c r="Y30" s="627">
        <v>10</v>
      </c>
      <c r="Z30" s="627" t="s">
        <v>105</v>
      </c>
      <c r="AA30" s="629" t="s">
        <v>105</v>
      </c>
    </row>
    <row r="31" spans="1:27" s="581" customFormat="1" ht="25.5" hidden="1">
      <c r="A31" s="580"/>
      <c r="B31" s="740">
        <v>12035</v>
      </c>
      <c r="C31" s="740">
        <v>2861</v>
      </c>
      <c r="D31" s="628"/>
      <c r="E31" s="627"/>
      <c r="F31" s="627"/>
      <c r="G31" s="627" t="s">
        <v>942</v>
      </c>
      <c r="H31" s="627" t="s">
        <v>943</v>
      </c>
      <c r="I31" s="627"/>
      <c r="J31" s="739"/>
      <c r="K31" s="739"/>
      <c r="L31" s="627" t="s">
        <v>944</v>
      </c>
      <c r="M31" s="627">
        <v>2000</v>
      </c>
      <c r="N31" s="627">
        <v>9000</v>
      </c>
      <c r="O31" s="627">
        <v>12857.142857142857</v>
      </c>
      <c r="P31" s="627">
        <v>25714.285714285717</v>
      </c>
      <c r="Q31" s="627">
        <v>0</v>
      </c>
      <c r="R31" s="627">
        <v>0</v>
      </c>
      <c r="S31" s="627">
        <v>0</v>
      </c>
      <c r="T31" s="627">
        <v>0</v>
      </c>
      <c r="U31" s="627">
        <v>0</v>
      </c>
      <c r="V31" s="627">
        <v>0</v>
      </c>
      <c r="W31" s="627"/>
      <c r="X31" s="627"/>
      <c r="Y31" s="627">
        <v>10</v>
      </c>
      <c r="Z31" s="627" t="s">
        <v>105</v>
      </c>
      <c r="AA31" s="629" t="s">
        <v>105</v>
      </c>
    </row>
    <row r="32" spans="1:27" s="581" customFormat="1" ht="25.5" hidden="1">
      <c r="A32" s="580"/>
      <c r="B32" s="740">
        <v>12035</v>
      </c>
      <c r="C32" s="740">
        <v>2860</v>
      </c>
      <c r="D32" s="628"/>
      <c r="E32" s="627"/>
      <c r="F32" s="627"/>
      <c r="G32" s="627" t="s">
        <v>942</v>
      </c>
      <c r="H32" s="627" t="s">
        <v>943</v>
      </c>
      <c r="I32" s="627"/>
      <c r="J32" s="739"/>
      <c r="K32" s="739"/>
      <c r="L32" s="627" t="s">
        <v>944</v>
      </c>
      <c r="M32" s="627">
        <v>1158</v>
      </c>
      <c r="N32" s="627">
        <v>5211</v>
      </c>
      <c r="O32" s="627">
        <v>7444.2857142857147</v>
      </c>
      <c r="P32" s="627">
        <v>14888.571428571429</v>
      </c>
      <c r="Q32" s="627">
        <v>0</v>
      </c>
      <c r="R32" s="627">
        <v>0</v>
      </c>
      <c r="S32" s="627">
        <v>0</v>
      </c>
      <c r="T32" s="627">
        <v>0</v>
      </c>
      <c r="U32" s="627">
        <v>0</v>
      </c>
      <c r="V32" s="627">
        <v>0</v>
      </c>
      <c r="W32" s="627"/>
      <c r="X32" s="627"/>
      <c r="Y32" s="627">
        <v>10</v>
      </c>
      <c r="Z32" s="627" t="s">
        <v>105</v>
      </c>
      <c r="AA32" s="629" t="s">
        <v>105</v>
      </c>
    </row>
    <row r="33" spans="1:27" s="581" customFormat="1" ht="25.5" hidden="1">
      <c r="A33" s="580"/>
      <c r="B33" s="740">
        <v>12035</v>
      </c>
      <c r="C33" s="740">
        <v>2861</v>
      </c>
      <c r="D33" s="628"/>
      <c r="E33" s="627"/>
      <c r="F33" s="627"/>
      <c r="G33" s="627" t="s">
        <v>942</v>
      </c>
      <c r="H33" s="627" t="s">
        <v>943</v>
      </c>
      <c r="I33" s="627"/>
      <c r="J33" s="739"/>
      <c r="K33" s="739"/>
      <c r="L33" s="627" t="s">
        <v>944</v>
      </c>
      <c r="M33" s="627">
        <v>2014</v>
      </c>
      <c r="N33" s="627">
        <v>9062.9999999999982</v>
      </c>
      <c r="O33" s="627">
        <v>12947.142857142855</v>
      </c>
      <c r="P33" s="627">
        <v>25894.28571428571</v>
      </c>
      <c r="Q33" s="627">
        <v>0</v>
      </c>
      <c r="R33" s="627">
        <v>0</v>
      </c>
      <c r="S33" s="627">
        <v>0</v>
      </c>
      <c r="T33" s="627">
        <v>0</v>
      </c>
      <c r="U33" s="627">
        <v>0</v>
      </c>
      <c r="V33" s="627">
        <v>0</v>
      </c>
      <c r="W33" s="627"/>
      <c r="X33" s="627"/>
      <c r="Y33" s="627">
        <v>10</v>
      </c>
      <c r="Z33" s="627" t="s">
        <v>105</v>
      </c>
      <c r="AA33" s="629" t="s">
        <v>105</v>
      </c>
    </row>
    <row r="34" spans="1:27" s="581" customFormat="1" ht="38.25" hidden="1">
      <c r="A34" s="580"/>
      <c r="B34" s="740">
        <v>12035</v>
      </c>
      <c r="C34" s="740">
        <v>2860</v>
      </c>
      <c r="D34" s="628"/>
      <c r="E34" s="627"/>
      <c r="F34" s="627"/>
      <c r="G34" s="627" t="s">
        <v>942</v>
      </c>
      <c r="H34" s="627" t="s">
        <v>945</v>
      </c>
      <c r="I34" s="627"/>
      <c r="J34" s="739"/>
      <c r="K34" s="739"/>
      <c r="L34" s="627" t="s">
        <v>946</v>
      </c>
      <c r="M34" s="627">
        <v>773</v>
      </c>
      <c r="N34" s="627">
        <v>3478.5</v>
      </c>
      <c r="O34" s="627">
        <v>3913.3125</v>
      </c>
      <c r="P34" s="627">
        <v>0</v>
      </c>
      <c r="Q34" s="627">
        <v>0</v>
      </c>
      <c r="R34" s="627">
        <v>0</v>
      </c>
      <c r="S34" s="627">
        <v>2174.0625</v>
      </c>
      <c r="T34" s="627">
        <v>6522.1875</v>
      </c>
      <c r="U34" s="627">
        <v>0</v>
      </c>
      <c r="V34" s="627">
        <v>0</v>
      </c>
      <c r="W34" s="627"/>
      <c r="X34" s="627"/>
      <c r="Y34" s="627">
        <v>10</v>
      </c>
      <c r="Z34" s="627" t="s">
        <v>105</v>
      </c>
      <c r="AA34" s="629" t="s">
        <v>105</v>
      </c>
    </row>
    <row r="35" spans="1:27" s="581" customFormat="1" ht="25.5" hidden="1">
      <c r="A35" s="580"/>
      <c r="B35" s="740">
        <v>12035</v>
      </c>
      <c r="C35" s="740">
        <v>2861</v>
      </c>
      <c r="D35" s="628"/>
      <c r="E35" s="627"/>
      <c r="F35" s="627"/>
      <c r="G35" s="627" t="s">
        <v>942</v>
      </c>
      <c r="H35" s="627" t="s">
        <v>943</v>
      </c>
      <c r="I35" s="627"/>
      <c r="J35" s="739"/>
      <c r="K35" s="739"/>
      <c r="L35" s="627" t="s">
        <v>944</v>
      </c>
      <c r="M35" s="627">
        <v>1562</v>
      </c>
      <c r="N35" s="627">
        <v>7029</v>
      </c>
      <c r="O35" s="627">
        <v>10041.428571428572</v>
      </c>
      <c r="P35" s="627">
        <v>20082.857142857145</v>
      </c>
      <c r="Q35" s="627">
        <v>0</v>
      </c>
      <c r="R35" s="627">
        <v>0</v>
      </c>
      <c r="S35" s="627">
        <v>0</v>
      </c>
      <c r="T35" s="627">
        <v>0</v>
      </c>
      <c r="U35" s="627">
        <v>0</v>
      </c>
      <c r="V35" s="627">
        <v>0</v>
      </c>
      <c r="W35" s="627"/>
      <c r="X35" s="627"/>
      <c r="Y35" s="627">
        <v>10</v>
      </c>
      <c r="Z35" s="627" t="s">
        <v>105</v>
      </c>
      <c r="AA35" s="629" t="s">
        <v>105</v>
      </c>
    </row>
    <row r="36" spans="1:27" s="581" customFormat="1" ht="25.5" hidden="1">
      <c r="A36" s="580"/>
      <c r="B36" s="740">
        <v>12035</v>
      </c>
      <c r="C36" s="740">
        <v>2860</v>
      </c>
      <c r="D36" s="628"/>
      <c r="E36" s="627"/>
      <c r="F36" s="627"/>
      <c r="G36" s="627" t="s">
        <v>942</v>
      </c>
      <c r="H36" s="627" t="s">
        <v>943</v>
      </c>
      <c r="I36" s="627"/>
      <c r="J36" s="739"/>
      <c r="K36" s="739"/>
      <c r="L36" s="627" t="s">
        <v>944</v>
      </c>
      <c r="M36" s="627">
        <v>2014</v>
      </c>
      <c r="N36" s="627">
        <v>9062.9999999999982</v>
      </c>
      <c r="O36" s="627">
        <v>12947.142857142855</v>
      </c>
      <c r="P36" s="627">
        <v>25894.28571428571</v>
      </c>
      <c r="Q36" s="627">
        <v>0</v>
      </c>
      <c r="R36" s="627">
        <v>0</v>
      </c>
      <c r="S36" s="627">
        <v>0</v>
      </c>
      <c r="T36" s="627">
        <v>0</v>
      </c>
      <c r="U36" s="627">
        <v>0</v>
      </c>
      <c r="V36" s="627">
        <v>0</v>
      </c>
      <c r="W36" s="627"/>
      <c r="X36" s="627"/>
      <c r="Y36" s="627">
        <v>10</v>
      </c>
      <c r="Z36" s="627" t="s">
        <v>105</v>
      </c>
      <c r="AA36" s="629" t="s">
        <v>105</v>
      </c>
    </row>
    <row r="37" spans="1:27" s="581" customFormat="1" ht="25.5" hidden="1">
      <c r="A37" s="580"/>
      <c r="B37" s="740">
        <v>12035</v>
      </c>
      <c r="C37" s="740">
        <v>2861</v>
      </c>
      <c r="D37" s="628"/>
      <c r="E37" s="627"/>
      <c r="F37" s="627"/>
      <c r="G37" s="627" t="s">
        <v>942</v>
      </c>
      <c r="H37" s="627" t="s">
        <v>943</v>
      </c>
      <c r="I37" s="627"/>
      <c r="J37" s="739"/>
      <c r="K37" s="739"/>
      <c r="L37" s="627" t="s">
        <v>944</v>
      </c>
      <c r="M37" s="627">
        <v>2014</v>
      </c>
      <c r="N37" s="627">
        <v>9062.9999999999982</v>
      </c>
      <c r="O37" s="627">
        <v>12947.142857142855</v>
      </c>
      <c r="P37" s="627">
        <v>25894.28571428571</v>
      </c>
      <c r="Q37" s="627">
        <v>0</v>
      </c>
      <c r="R37" s="627">
        <v>0</v>
      </c>
      <c r="S37" s="627">
        <v>0</v>
      </c>
      <c r="T37" s="627">
        <v>0</v>
      </c>
      <c r="U37" s="627">
        <v>0</v>
      </c>
      <c r="V37" s="627">
        <v>0</v>
      </c>
      <c r="W37" s="627"/>
      <c r="X37" s="627"/>
      <c r="Y37" s="627">
        <v>10</v>
      </c>
      <c r="Z37" s="627" t="s">
        <v>105</v>
      </c>
      <c r="AA37" s="629" t="s">
        <v>105</v>
      </c>
    </row>
    <row r="38" spans="1:27" s="581" customFormat="1" ht="25.5" hidden="1">
      <c r="A38" s="580"/>
      <c r="B38" s="740">
        <v>12035</v>
      </c>
      <c r="C38" s="740">
        <v>2860</v>
      </c>
      <c r="D38" s="628"/>
      <c r="E38" s="627"/>
      <c r="F38" s="627"/>
      <c r="G38" s="627" t="s">
        <v>942</v>
      </c>
      <c r="H38" s="627" t="s">
        <v>943</v>
      </c>
      <c r="I38" s="627"/>
      <c r="J38" s="739"/>
      <c r="K38" s="739"/>
      <c r="L38" s="627" t="s">
        <v>944</v>
      </c>
      <c r="M38" s="627">
        <v>2014</v>
      </c>
      <c r="N38" s="627">
        <v>9062.9999999999982</v>
      </c>
      <c r="O38" s="627">
        <v>12947.142857142855</v>
      </c>
      <c r="P38" s="627">
        <v>25894.28571428571</v>
      </c>
      <c r="Q38" s="627">
        <v>0</v>
      </c>
      <c r="R38" s="627">
        <v>0</v>
      </c>
      <c r="S38" s="627">
        <v>0</v>
      </c>
      <c r="T38" s="627">
        <v>0</v>
      </c>
      <c r="U38" s="627">
        <v>0</v>
      </c>
      <c r="V38" s="627">
        <v>0</v>
      </c>
      <c r="W38" s="627"/>
      <c r="X38" s="627"/>
      <c r="Y38" s="627">
        <v>10</v>
      </c>
      <c r="Z38" s="627" t="s">
        <v>105</v>
      </c>
      <c r="AA38" s="629" t="s">
        <v>105</v>
      </c>
    </row>
    <row r="39" spans="1:27" s="581" customFormat="1" ht="38.25" hidden="1">
      <c r="A39" s="580"/>
      <c r="B39" s="740">
        <v>12035</v>
      </c>
      <c r="C39" s="740">
        <v>2861</v>
      </c>
      <c r="D39" s="628"/>
      <c r="E39" s="627"/>
      <c r="F39" s="627"/>
      <c r="G39" s="627" t="s">
        <v>942</v>
      </c>
      <c r="H39" s="627" t="s">
        <v>945</v>
      </c>
      <c r="I39" s="627"/>
      <c r="J39" s="739"/>
      <c r="K39" s="739"/>
      <c r="L39" s="627" t="s">
        <v>944</v>
      </c>
      <c r="M39" s="627">
        <v>640</v>
      </c>
      <c r="N39" s="627">
        <v>2880</v>
      </c>
      <c r="O39" s="627">
        <v>3240</v>
      </c>
      <c r="P39" s="627">
        <v>0</v>
      </c>
      <c r="Q39" s="627">
        <v>0</v>
      </c>
      <c r="R39" s="627">
        <v>0</v>
      </c>
      <c r="S39" s="627">
        <v>1800</v>
      </c>
      <c r="T39" s="627">
        <v>5400</v>
      </c>
      <c r="U39" s="627">
        <v>0</v>
      </c>
      <c r="V39" s="627">
        <v>0</v>
      </c>
      <c r="W39" s="627"/>
      <c r="X39" s="627"/>
      <c r="Y39" s="627">
        <v>10</v>
      </c>
      <c r="Z39" s="627" t="s">
        <v>105</v>
      </c>
      <c r="AA39" s="629" t="s">
        <v>105</v>
      </c>
    </row>
    <row r="40" spans="1:27" s="581" customFormat="1" ht="38.25" hidden="1">
      <c r="A40" s="580"/>
      <c r="B40" s="740">
        <v>12035</v>
      </c>
      <c r="C40" s="740">
        <v>2860</v>
      </c>
      <c r="D40" s="628"/>
      <c r="E40" s="627"/>
      <c r="F40" s="627"/>
      <c r="G40" s="627" t="s">
        <v>942</v>
      </c>
      <c r="H40" s="627" t="s">
        <v>945</v>
      </c>
      <c r="I40" s="627"/>
      <c r="J40" s="739"/>
      <c r="K40" s="739"/>
      <c r="L40" s="627" t="s">
        <v>944</v>
      </c>
      <c r="M40" s="627">
        <v>1058</v>
      </c>
      <c r="N40" s="627">
        <v>4761</v>
      </c>
      <c r="O40" s="627">
        <v>5356.125</v>
      </c>
      <c r="P40" s="627">
        <v>0</v>
      </c>
      <c r="Q40" s="627">
        <v>0</v>
      </c>
      <c r="R40" s="627">
        <v>0</v>
      </c>
      <c r="S40" s="627">
        <v>2975.625</v>
      </c>
      <c r="T40" s="627">
        <v>8926.875</v>
      </c>
      <c r="U40" s="627">
        <v>0</v>
      </c>
      <c r="V40" s="627">
        <v>0</v>
      </c>
      <c r="W40" s="627"/>
      <c r="X40" s="627"/>
      <c r="Y40" s="627">
        <v>10</v>
      </c>
      <c r="Z40" s="627" t="s">
        <v>105</v>
      </c>
      <c r="AA40" s="629" t="s">
        <v>105</v>
      </c>
    </row>
    <row r="41" spans="1:27" s="581" customFormat="1" ht="25.5" hidden="1">
      <c r="A41" s="580"/>
      <c r="B41" s="740">
        <v>12035</v>
      </c>
      <c r="C41" s="740">
        <v>2860</v>
      </c>
      <c r="D41" s="628"/>
      <c r="E41" s="627"/>
      <c r="F41" s="627"/>
      <c r="G41" s="627" t="s">
        <v>942</v>
      </c>
      <c r="H41" s="627" t="s">
        <v>943</v>
      </c>
      <c r="I41" s="627"/>
      <c r="J41" s="739"/>
      <c r="K41" s="739"/>
      <c r="L41" s="627" t="s">
        <v>944</v>
      </c>
      <c r="M41" s="627">
        <v>1008</v>
      </c>
      <c r="N41" s="627">
        <v>4536</v>
      </c>
      <c r="O41" s="627">
        <v>6480</v>
      </c>
      <c r="P41" s="627">
        <v>12960</v>
      </c>
      <c r="Q41" s="627">
        <v>0</v>
      </c>
      <c r="R41" s="627">
        <v>0</v>
      </c>
      <c r="S41" s="627">
        <v>0</v>
      </c>
      <c r="T41" s="627">
        <v>0</v>
      </c>
      <c r="U41" s="627">
        <v>0</v>
      </c>
      <c r="V41" s="627">
        <v>0</v>
      </c>
      <c r="W41" s="627"/>
      <c r="X41" s="627"/>
      <c r="Y41" s="627">
        <v>10</v>
      </c>
      <c r="Z41" s="627" t="s">
        <v>105</v>
      </c>
      <c r="AA41" s="629" t="s">
        <v>105</v>
      </c>
    </row>
    <row r="42" spans="1:27" s="581" customFormat="1" ht="25.5" hidden="1">
      <c r="A42" s="580"/>
      <c r="B42" s="740">
        <v>12035</v>
      </c>
      <c r="C42" s="740">
        <v>2860</v>
      </c>
      <c r="D42" s="628"/>
      <c r="E42" s="627"/>
      <c r="F42" s="627"/>
      <c r="G42" s="627" t="s">
        <v>942</v>
      </c>
      <c r="H42" s="627" t="s">
        <v>943</v>
      </c>
      <c r="I42" s="627"/>
      <c r="J42" s="739"/>
      <c r="K42" s="739"/>
      <c r="L42" s="627" t="s">
        <v>944</v>
      </c>
      <c r="M42" s="627">
        <v>265</v>
      </c>
      <c r="N42" s="627">
        <v>1192.5</v>
      </c>
      <c r="O42" s="627">
        <v>1703.5714285714287</v>
      </c>
      <c r="P42" s="627">
        <v>3407.1428571428573</v>
      </c>
      <c r="Q42" s="627">
        <v>0</v>
      </c>
      <c r="R42" s="627">
        <v>0</v>
      </c>
      <c r="S42" s="627">
        <v>0</v>
      </c>
      <c r="T42" s="627">
        <v>0</v>
      </c>
      <c r="U42" s="627">
        <v>0</v>
      </c>
      <c r="V42" s="627">
        <v>0</v>
      </c>
      <c r="W42" s="627"/>
      <c r="X42" s="627"/>
      <c r="Y42" s="627">
        <v>10</v>
      </c>
      <c r="Z42" s="627" t="s">
        <v>105</v>
      </c>
      <c r="AA42" s="629" t="s">
        <v>105</v>
      </c>
    </row>
    <row r="43" spans="1:27" s="581" customFormat="1" ht="25.5" hidden="1">
      <c r="A43" s="580"/>
      <c r="B43" s="740">
        <v>12035</v>
      </c>
      <c r="C43" s="740">
        <v>2861</v>
      </c>
      <c r="D43" s="628"/>
      <c r="E43" s="627"/>
      <c r="F43" s="627"/>
      <c r="G43" s="627" t="s">
        <v>942</v>
      </c>
      <c r="H43" s="627" t="s">
        <v>943</v>
      </c>
      <c r="I43" s="627"/>
      <c r="J43" s="739"/>
      <c r="K43" s="739"/>
      <c r="L43" s="627" t="s">
        <v>944</v>
      </c>
      <c r="M43" s="627">
        <v>800</v>
      </c>
      <c r="N43" s="627">
        <v>3600</v>
      </c>
      <c r="O43" s="627">
        <v>5142.8571428571431</v>
      </c>
      <c r="P43" s="627">
        <v>10285.714285714286</v>
      </c>
      <c r="Q43" s="627">
        <v>0</v>
      </c>
      <c r="R43" s="627">
        <v>0</v>
      </c>
      <c r="S43" s="627">
        <v>0</v>
      </c>
      <c r="T43" s="627">
        <v>0</v>
      </c>
      <c r="U43" s="627">
        <v>0</v>
      </c>
      <c r="V43" s="627">
        <v>0</v>
      </c>
      <c r="W43" s="627"/>
      <c r="X43" s="627"/>
      <c r="Y43" s="627">
        <v>10</v>
      </c>
      <c r="Z43" s="627" t="s">
        <v>105</v>
      </c>
      <c r="AA43" s="629" t="s">
        <v>105</v>
      </c>
    </row>
    <row r="44" spans="1:27" s="581" customFormat="1" ht="25.5" hidden="1">
      <c r="A44" s="580"/>
      <c r="B44" s="740">
        <v>12035</v>
      </c>
      <c r="C44" s="740">
        <v>2861</v>
      </c>
      <c r="D44" s="628"/>
      <c r="E44" s="627"/>
      <c r="F44" s="627"/>
      <c r="G44" s="627" t="s">
        <v>942</v>
      </c>
      <c r="H44" s="627" t="s">
        <v>943</v>
      </c>
      <c r="I44" s="627"/>
      <c r="J44" s="739"/>
      <c r="K44" s="739"/>
      <c r="L44" s="627" t="s">
        <v>944</v>
      </c>
      <c r="M44" s="627">
        <v>2040</v>
      </c>
      <c r="N44" s="627">
        <v>9180</v>
      </c>
      <c r="O44" s="627">
        <v>13114.285714285714</v>
      </c>
      <c r="P44" s="627">
        <v>26228.571428571431</v>
      </c>
      <c r="Q44" s="627">
        <v>0</v>
      </c>
      <c r="R44" s="627">
        <v>0</v>
      </c>
      <c r="S44" s="627">
        <v>0</v>
      </c>
      <c r="T44" s="627">
        <v>0</v>
      </c>
      <c r="U44" s="627">
        <v>0</v>
      </c>
      <c r="V44" s="627">
        <v>0</v>
      </c>
      <c r="W44" s="627"/>
      <c r="X44" s="627"/>
      <c r="Y44" s="627">
        <v>10</v>
      </c>
      <c r="Z44" s="627" t="s">
        <v>105</v>
      </c>
      <c r="AA44" s="629" t="s">
        <v>105</v>
      </c>
    </row>
    <row r="45" spans="1:27" s="581" customFormat="1" ht="38.25" hidden="1">
      <c r="A45" s="580"/>
      <c r="B45" s="740">
        <v>12035</v>
      </c>
      <c r="C45" s="740">
        <v>2861</v>
      </c>
      <c r="D45" s="628"/>
      <c r="E45" s="627"/>
      <c r="F45" s="627"/>
      <c r="G45" s="627" t="s">
        <v>942</v>
      </c>
      <c r="H45" s="627" t="s">
        <v>945</v>
      </c>
      <c r="I45" s="627"/>
      <c r="J45" s="739"/>
      <c r="K45" s="739"/>
      <c r="L45" s="627" t="s">
        <v>946</v>
      </c>
      <c r="M45" s="627">
        <v>528</v>
      </c>
      <c r="N45" s="627">
        <v>2376</v>
      </c>
      <c r="O45" s="627">
        <v>2673</v>
      </c>
      <c r="P45" s="627">
        <v>0</v>
      </c>
      <c r="Q45" s="627">
        <v>0</v>
      </c>
      <c r="R45" s="627">
        <v>0</v>
      </c>
      <c r="S45" s="627">
        <v>1485</v>
      </c>
      <c r="T45" s="627">
        <v>4455</v>
      </c>
      <c r="U45" s="627">
        <v>0</v>
      </c>
      <c r="V45" s="627">
        <v>0</v>
      </c>
      <c r="W45" s="627"/>
      <c r="X45" s="627"/>
      <c r="Y45" s="627">
        <v>10</v>
      </c>
      <c r="Z45" s="627" t="s">
        <v>105</v>
      </c>
      <c r="AA45" s="629" t="s">
        <v>105</v>
      </c>
    </row>
    <row r="46" spans="1:27" s="581" customFormat="1" ht="25.5" hidden="1">
      <c r="A46" s="580"/>
      <c r="B46" s="740">
        <v>12035</v>
      </c>
      <c r="C46" s="740">
        <v>2860</v>
      </c>
      <c r="D46" s="628"/>
      <c r="E46" s="627"/>
      <c r="F46" s="627"/>
      <c r="G46" s="627" t="s">
        <v>942</v>
      </c>
      <c r="H46" s="627" t="s">
        <v>943</v>
      </c>
      <c r="I46" s="627"/>
      <c r="J46" s="739"/>
      <c r="K46" s="739"/>
      <c r="L46" s="627" t="s">
        <v>944</v>
      </c>
      <c r="M46" s="627">
        <v>2014</v>
      </c>
      <c r="N46" s="627">
        <v>9062.9999999999982</v>
      </c>
      <c r="O46" s="627">
        <v>12947.142857142855</v>
      </c>
      <c r="P46" s="627">
        <v>25894.28571428571</v>
      </c>
      <c r="Q46" s="627">
        <v>0</v>
      </c>
      <c r="R46" s="627">
        <v>0</v>
      </c>
      <c r="S46" s="627">
        <v>0</v>
      </c>
      <c r="T46" s="627">
        <v>0</v>
      </c>
      <c r="U46" s="627">
        <v>0</v>
      </c>
      <c r="V46" s="627">
        <v>0</v>
      </c>
      <c r="W46" s="627"/>
      <c r="X46" s="627"/>
      <c r="Y46" s="627">
        <v>10</v>
      </c>
      <c r="Z46" s="627" t="s">
        <v>105</v>
      </c>
      <c r="AA46" s="629" t="s">
        <v>105</v>
      </c>
    </row>
    <row r="47" spans="1:27" s="581" customFormat="1" ht="38.25" hidden="1">
      <c r="A47" s="580"/>
      <c r="B47" s="740">
        <v>12035</v>
      </c>
      <c r="C47" s="740">
        <v>2861</v>
      </c>
      <c r="D47" s="628"/>
      <c r="E47" s="627"/>
      <c r="F47" s="627"/>
      <c r="G47" s="627" t="s">
        <v>942</v>
      </c>
      <c r="H47" s="627" t="s">
        <v>945</v>
      </c>
      <c r="I47" s="627"/>
      <c r="J47" s="739"/>
      <c r="K47" s="739"/>
      <c r="L47" s="627" t="s">
        <v>944</v>
      </c>
      <c r="M47" s="627">
        <v>1000</v>
      </c>
      <c r="N47" s="627">
        <v>4500</v>
      </c>
      <c r="O47" s="627">
        <v>5062.5</v>
      </c>
      <c r="P47" s="627">
        <v>0</v>
      </c>
      <c r="Q47" s="627">
        <v>0</v>
      </c>
      <c r="R47" s="627">
        <v>0</v>
      </c>
      <c r="S47" s="627">
        <v>0</v>
      </c>
      <c r="T47" s="627">
        <v>11250</v>
      </c>
      <c r="U47" s="627">
        <v>0</v>
      </c>
      <c r="V47" s="627">
        <v>0</v>
      </c>
      <c r="W47" s="627"/>
      <c r="X47" s="627"/>
      <c r="Y47" s="627">
        <v>10</v>
      </c>
      <c r="Z47" s="627" t="s">
        <v>105</v>
      </c>
      <c r="AA47" s="629" t="s">
        <v>105</v>
      </c>
    </row>
    <row r="48" spans="1:27" s="581" customFormat="1" ht="38.25" hidden="1">
      <c r="A48" s="580"/>
      <c r="B48" s="740">
        <v>12035</v>
      </c>
      <c r="C48" s="740">
        <v>2860</v>
      </c>
      <c r="D48" s="628"/>
      <c r="E48" s="627"/>
      <c r="F48" s="627"/>
      <c r="G48" s="627" t="s">
        <v>942</v>
      </c>
      <c r="H48" s="627" t="s">
        <v>945</v>
      </c>
      <c r="I48" s="627"/>
      <c r="J48" s="739"/>
      <c r="K48" s="739"/>
      <c r="L48" s="627" t="s">
        <v>944</v>
      </c>
      <c r="M48" s="627">
        <v>1129</v>
      </c>
      <c r="N48" s="627">
        <v>5080.5</v>
      </c>
      <c r="O48" s="627">
        <v>5715.5625</v>
      </c>
      <c r="P48" s="627">
        <v>0</v>
      </c>
      <c r="Q48" s="627">
        <v>0</v>
      </c>
      <c r="R48" s="627">
        <v>0</v>
      </c>
      <c r="S48" s="627">
        <v>3175.3125</v>
      </c>
      <c r="T48" s="627">
        <v>9525.9375</v>
      </c>
      <c r="U48" s="627">
        <v>0</v>
      </c>
      <c r="V48" s="627">
        <v>0</v>
      </c>
      <c r="W48" s="627"/>
      <c r="X48" s="627"/>
      <c r="Y48" s="627">
        <v>10</v>
      </c>
      <c r="Z48" s="627" t="s">
        <v>105</v>
      </c>
      <c r="AA48" s="629" t="s">
        <v>105</v>
      </c>
    </row>
    <row r="49" spans="1:27" s="581" customFormat="1" ht="25.5" hidden="1">
      <c r="A49" s="580"/>
      <c r="B49" s="740">
        <v>12035</v>
      </c>
      <c r="C49" s="740">
        <v>2861</v>
      </c>
      <c r="D49" s="628"/>
      <c r="E49" s="627"/>
      <c r="F49" s="627"/>
      <c r="G49" s="627" t="s">
        <v>942</v>
      </c>
      <c r="H49" s="627" t="s">
        <v>943</v>
      </c>
      <c r="I49" s="627"/>
      <c r="J49" s="739"/>
      <c r="K49" s="739"/>
      <c r="L49" s="627" t="s">
        <v>944</v>
      </c>
      <c r="M49" s="627">
        <v>1752</v>
      </c>
      <c r="N49" s="627">
        <v>7884</v>
      </c>
      <c r="O49" s="627">
        <v>11262.857142857143</v>
      </c>
      <c r="P49" s="627">
        <v>22525.714285714286</v>
      </c>
      <c r="Q49" s="627">
        <v>0</v>
      </c>
      <c r="R49" s="627">
        <v>0</v>
      </c>
      <c r="S49" s="627">
        <v>0</v>
      </c>
      <c r="T49" s="627">
        <v>0</v>
      </c>
      <c r="U49" s="627">
        <v>0</v>
      </c>
      <c r="V49" s="627">
        <v>0</v>
      </c>
      <c r="W49" s="627"/>
      <c r="X49" s="627"/>
      <c r="Y49" s="627">
        <v>10</v>
      </c>
      <c r="Z49" s="627" t="s">
        <v>105</v>
      </c>
      <c r="AA49" s="629" t="s">
        <v>105</v>
      </c>
    </row>
    <row r="50" spans="1:27" s="581" customFormat="1" ht="25.5" hidden="1">
      <c r="A50" s="580"/>
      <c r="B50" s="740">
        <v>12035</v>
      </c>
      <c r="C50" s="740">
        <v>2860</v>
      </c>
      <c r="D50" s="628"/>
      <c r="E50" s="627"/>
      <c r="F50" s="627"/>
      <c r="G50" s="627" t="s">
        <v>942</v>
      </c>
      <c r="H50" s="627" t="s">
        <v>943</v>
      </c>
      <c r="I50" s="627"/>
      <c r="J50" s="739"/>
      <c r="K50" s="739"/>
      <c r="L50" s="627" t="s">
        <v>944</v>
      </c>
      <c r="M50" s="627">
        <v>1160</v>
      </c>
      <c r="N50" s="627">
        <v>5220</v>
      </c>
      <c r="O50" s="627">
        <v>7457.1428571428569</v>
      </c>
      <c r="P50" s="627">
        <v>14914.285714285716</v>
      </c>
      <c r="Q50" s="627">
        <v>0</v>
      </c>
      <c r="R50" s="627">
        <v>0</v>
      </c>
      <c r="S50" s="627">
        <v>0</v>
      </c>
      <c r="T50" s="627">
        <v>0</v>
      </c>
      <c r="U50" s="627">
        <v>0</v>
      </c>
      <c r="V50" s="627">
        <v>0</v>
      </c>
      <c r="W50" s="627"/>
      <c r="X50" s="627"/>
      <c r="Y50" s="627">
        <v>10</v>
      </c>
      <c r="Z50" s="627" t="s">
        <v>105</v>
      </c>
      <c r="AA50" s="629" t="s">
        <v>105</v>
      </c>
    </row>
    <row r="51" spans="1:27" s="581" customFormat="1" ht="25.5" hidden="1">
      <c r="A51" s="580"/>
      <c r="B51" s="740">
        <v>12035</v>
      </c>
      <c r="C51" s="740">
        <v>2861</v>
      </c>
      <c r="D51" s="628"/>
      <c r="E51" s="627"/>
      <c r="F51" s="627"/>
      <c r="G51" s="627" t="s">
        <v>942</v>
      </c>
      <c r="H51" s="627" t="s">
        <v>943</v>
      </c>
      <c r="I51" s="627"/>
      <c r="J51" s="739"/>
      <c r="K51" s="739"/>
      <c r="L51" s="627" t="s">
        <v>944</v>
      </c>
      <c r="M51" s="627">
        <v>9</v>
      </c>
      <c r="N51" s="627">
        <v>10.125</v>
      </c>
      <c r="O51" s="627">
        <v>14.464285714285715</v>
      </c>
      <c r="P51" s="627">
        <v>0</v>
      </c>
      <c r="Q51" s="627">
        <v>0</v>
      </c>
      <c r="R51" s="627">
        <v>0</v>
      </c>
      <c r="S51" s="627">
        <v>0</v>
      </c>
      <c r="T51" s="627">
        <v>0</v>
      </c>
      <c r="U51" s="627">
        <v>0</v>
      </c>
      <c r="V51" s="627">
        <v>28.928571428571431</v>
      </c>
      <c r="W51" s="627"/>
      <c r="X51" s="627"/>
      <c r="Y51" s="627">
        <v>10</v>
      </c>
      <c r="Z51" s="627" t="s">
        <v>105</v>
      </c>
      <c r="AA51" s="629" t="s">
        <v>105</v>
      </c>
    </row>
    <row r="52" spans="1:27" s="581" customFormat="1" ht="25.5" hidden="1">
      <c r="A52" s="580"/>
      <c r="B52" s="740">
        <v>12035</v>
      </c>
      <c r="C52" s="740">
        <v>2861</v>
      </c>
      <c r="D52" s="628"/>
      <c r="E52" s="627"/>
      <c r="F52" s="627"/>
      <c r="G52" s="627" t="s">
        <v>942</v>
      </c>
      <c r="H52" s="627" t="s">
        <v>943</v>
      </c>
      <c r="I52" s="627"/>
      <c r="J52" s="739"/>
      <c r="K52" s="739"/>
      <c r="L52" s="627" t="s">
        <v>944</v>
      </c>
      <c r="M52" s="627">
        <v>2566</v>
      </c>
      <c r="N52" s="627">
        <v>11547</v>
      </c>
      <c r="O52" s="627">
        <v>16495.714285714286</v>
      </c>
      <c r="P52" s="627">
        <v>32991.428571428572</v>
      </c>
      <c r="Q52" s="627">
        <v>0</v>
      </c>
      <c r="R52" s="627">
        <v>0</v>
      </c>
      <c r="S52" s="627">
        <v>0</v>
      </c>
      <c r="T52" s="627">
        <v>0</v>
      </c>
      <c r="U52" s="627">
        <v>0</v>
      </c>
      <c r="V52" s="627">
        <v>0</v>
      </c>
      <c r="W52" s="627"/>
      <c r="X52" s="627"/>
      <c r="Y52" s="627">
        <v>10</v>
      </c>
      <c r="Z52" s="627" t="s">
        <v>105</v>
      </c>
      <c r="AA52" s="629" t="s">
        <v>105</v>
      </c>
    </row>
    <row r="53" spans="1:27" s="581" customFormat="1" ht="25.5" hidden="1">
      <c r="A53" s="580"/>
      <c r="B53" s="740">
        <v>12035</v>
      </c>
      <c r="C53" s="740">
        <v>2861</v>
      </c>
      <c r="D53" s="628"/>
      <c r="E53" s="627"/>
      <c r="F53" s="627"/>
      <c r="G53" s="627" t="s">
        <v>942</v>
      </c>
      <c r="H53" s="627" t="s">
        <v>943</v>
      </c>
      <c r="I53" s="627"/>
      <c r="J53" s="739"/>
      <c r="K53" s="739"/>
      <c r="L53" s="627" t="s">
        <v>944</v>
      </c>
      <c r="M53" s="627">
        <v>1200</v>
      </c>
      <c r="N53" s="627">
        <v>1080</v>
      </c>
      <c r="O53" s="627">
        <v>1542.8571428571429</v>
      </c>
      <c r="P53" s="627">
        <v>3085.7142857142858</v>
      </c>
      <c r="Q53" s="627">
        <v>0</v>
      </c>
      <c r="R53" s="627">
        <v>0</v>
      </c>
      <c r="S53" s="627">
        <v>0</v>
      </c>
      <c r="T53" s="627">
        <v>0</v>
      </c>
      <c r="U53" s="627">
        <v>0</v>
      </c>
      <c r="V53" s="627">
        <v>0</v>
      </c>
      <c r="W53" s="627"/>
      <c r="X53" s="627"/>
      <c r="Y53" s="627">
        <v>1300</v>
      </c>
      <c r="Z53" s="627" t="s">
        <v>53</v>
      </c>
      <c r="AA53" s="629" t="s">
        <v>149</v>
      </c>
    </row>
    <row r="54" spans="1:27" s="581" customFormat="1" ht="25.5" hidden="1">
      <c r="A54" s="580"/>
      <c r="B54" s="740">
        <v>12035</v>
      </c>
      <c r="C54" s="740">
        <v>2861</v>
      </c>
      <c r="D54" s="628"/>
      <c r="E54" s="627"/>
      <c r="F54" s="627"/>
      <c r="G54" s="627" t="s">
        <v>942</v>
      </c>
      <c r="H54" s="627" t="s">
        <v>943</v>
      </c>
      <c r="I54" s="627"/>
      <c r="J54" s="739"/>
      <c r="K54" s="739"/>
      <c r="L54" s="627" t="s">
        <v>944</v>
      </c>
      <c r="M54" s="627">
        <v>800</v>
      </c>
      <c r="N54" s="627">
        <v>720</v>
      </c>
      <c r="O54" s="627">
        <v>1028.5714285714287</v>
      </c>
      <c r="P54" s="627">
        <v>2057.1428571428573</v>
      </c>
      <c r="Q54" s="627">
        <v>0</v>
      </c>
      <c r="R54" s="627">
        <v>0</v>
      </c>
      <c r="S54" s="627">
        <v>0</v>
      </c>
      <c r="T54" s="627">
        <v>0</v>
      </c>
      <c r="U54" s="627">
        <v>0</v>
      </c>
      <c r="V54" s="627">
        <v>0</v>
      </c>
      <c r="W54" s="627"/>
      <c r="X54" s="627"/>
      <c r="Y54" s="627">
        <v>10</v>
      </c>
      <c r="Z54" s="627" t="s">
        <v>105</v>
      </c>
      <c r="AA54" s="629" t="s">
        <v>105</v>
      </c>
    </row>
    <row r="55" spans="1:27" s="563" customFormat="1" hidden="1">
      <c r="A55" s="583" t="s">
        <v>269</v>
      </c>
      <c r="B55" s="584"/>
      <c r="C55" s="584"/>
      <c r="D55" s="584"/>
      <c r="E55" s="584"/>
      <c r="F55" s="584"/>
      <c r="G55" s="584"/>
      <c r="H55" s="584"/>
      <c r="I55" s="584"/>
      <c r="J55" s="584"/>
      <c r="K55" s="584"/>
      <c r="L55" s="585"/>
      <c r="M55" s="585">
        <f>SUM(M28:M54)</f>
        <v>36072</v>
      </c>
      <c r="N55" s="585">
        <f>SUM(N28:N54)</f>
        <v>155093.625</v>
      </c>
      <c r="O55" s="585">
        <f>SUM(O28:O54)</f>
        <v>214557.10714285713</v>
      </c>
      <c r="P55" s="585">
        <f>SUM(P28:P54)</f>
        <v>377164.28571428568</v>
      </c>
      <c r="Q55" s="585">
        <f>SUM(Q28:Q54)</f>
        <v>0</v>
      </c>
      <c r="R55" s="585">
        <f>SUM(R28:R54)</f>
        <v>0</v>
      </c>
      <c r="S55" s="585">
        <f>SUM(S28:S54)</f>
        <v>11610</v>
      </c>
      <c r="T55" s="585">
        <f>SUM(T28:T54)</f>
        <v>46080</v>
      </c>
      <c r="U55" s="585">
        <f>SUM(U28:U54)</f>
        <v>0</v>
      </c>
      <c r="V55" s="585">
        <f>SUM(V28:V54)</f>
        <v>28.928571428571431</v>
      </c>
      <c r="W55" s="585">
        <f>SUM(W28:W54)</f>
        <v>0</v>
      </c>
      <c r="X55" s="585"/>
      <c r="Y55" s="586"/>
      <c r="Z55" s="586"/>
      <c r="AA55" s="587"/>
    </row>
    <row r="56" spans="1:27" s="563" customFormat="1">
      <c r="A56" s="583" t="s">
        <v>276</v>
      </c>
      <c r="B56" s="584"/>
      <c r="C56" s="584"/>
      <c r="D56" s="584"/>
      <c r="E56" s="584"/>
      <c r="F56" s="584"/>
      <c r="G56" s="584"/>
      <c r="H56" s="584"/>
      <c r="I56" s="584"/>
      <c r="J56" s="584"/>
      <c r="K56" s="584"/>
      <c r="L56" s="585"/>
      <c r="M56" s="585">
        <f>SUMIF($AA$28:$AA$54,"industrie",M28:M54)</f>
        <v>0</v>
      </c>
      <c r="N56" s="585">
        <f>SUMIF($AA$28:$AA$54,"industrie",N28:N54)</f>
        <v>0</v>
      </c>
      <c r="O56" s="585">
        <f>SUMIF($AA$28:$AA$54,"industrie",O28:O54)</f>
        <v>0</v>
      </c>
      <c r="P56" s="585">
        <f>SUMIF($AA$28:$AA$54,"industrie",P28:P54)</f>
        <v>0</v>
      </c>
      <c r="Q56" s="585">
        <f>SUMIF($AA$28:$AA$54,"industrie",Q28:Q54)</f>
        <v>0</v>
      </c>
      <c r="R56" s="585">
        <f>SUMIF($AA$28:$AA$54,"industrie",R28:R54)</f>
        <v>0</v>
      </c>
      <c r="S56" s="585">
        <f>SUMIF($AA$28:$AA$54,"industrie",S28:S54)</f>
        <v>0</v>
      </c>
      <c r="T56" s="585">
        <f>SUMIF($AA$28:$AA$54,"industrie",T28:T54)</f>
        <v>0</v>
      </c>
      <c r="U56" s="585">
        <f>SUMIF($AA$28:$AA$54,"industrie",U28:U54)</f>
        <v>0</v>
      </c>
      <c r="V56" s="585">
        <f>SUMIF($AA$28:$AA$54,"industrie",V28:V54)</f>
        <v>0</v>
      </c>
      <c r="W56" s="585">
        <f>SUMIF($AA$28:$AA$54,"industrie",W28:W54)</f>
        <v>0</v>
      </c>
      <c r="X56" s="585"/>
      <c r="Y56" s="586"/>
      <c r="Z56" s="586"/>
      <c r="AA56" s="587"/>
    </row>
    <row r="57" spans="1:27" s="563" customFormat="1">
      <c r="A57" s="583" t="s">
        <v>277</v>
      </c>
      <c r="B57" s="584"/>
      <c r="C57" s="584"/>
      <c r="D57" s="584"/>
      <c r="E57" s="584"/>
      <c r="F57" s="584"/>
      <c r="G57" s="584"/>
      <c r="H57" s="584"/>
      <c r="I57" s="584"/>
      <c r="J57" s="584"/>
      <c r="K57" s="584"/>
      <c r="L57" s="585"/>
      <c r="M57" s="585">
        <f ca="1">SUMIF($AA$28:AD54,"tertiair",M28:M54)</f>
        <v>1200</v>
      </c>
      <c r="N57" s="585">
        <f ca="1">SUMIF($AA$28:AE54,"tertiair",N28:N54)</f>
        <v>1080</v>
      </c>
      <c r="O57" s="585">
        <f ca="1">SUMIF($AA$28:AF54,"tertiair",O28:O54)</f>
        <v>1542.8571428571429</v>
      </c>
      <c r="P57" s="585">
        <f ca="1">SUMIF($AA$28:AG54,"tertiair",P28:P54)</f>
        <v>3085.7142857142858</v>
      </c>
      <c r="Q57" s="585">
        <f ca="1">SUMIF($AA$28:AH54,"tertiair",Q28:Q54)</f>
        <v>0</v>
      </c>
      <c r="R57" s="585">
        <f ca="1">SUMIF($AA$28:AI54,"tertiair",R28:R54)</f>
        <v>0</v>
      </c>
      <c r="S57" s="585">
        <f ca="1">SUMIF($AA$28:AJ54,"tertiair",S28:S54)</f>
        <v>0</v>
      </c>
      <c r="T57" s="585">
        <f ca="1">SUMIF($AA$28:AK54,"tertiair",T28:T54)</f>
        <v>0</v>
      </c>
      <c r="U57" s="585">
        <f ca="1">SUMIF($AA$28:AL54,"tertiair",U28:U54)</f>
        <v>0</v>
      </c>
      <c r="V57" s="585">
        <f ca="1">SUMIF($AA$28:AM54,"tertiair",V28:V54)</f>
        <v>0</v>
      </c>
      <c r="W57" s="585">
        <f ca="1">SUMIF($AA$28:AN54,"tertiair",W28:W54)</f>
        <v>0</v>
      </c>
      <c r="X57" s="585"/>
      <c r="Y57" s="586"/>
      <c r="Z57" s="586"/>
      <c r="AA57" s="587"/>
    </row>
    <row r="58" spans="1:27" s="563" customFormat="1" ht="15.75" thickBot="1">
      <c r="A58" s="588" t="s">
        <v>278</v>
      </c>
      <c r="B58" s="589"/>
      <c r="C58" s="589"/>
      <c r="D58" s="589"/>
      <c r="E58" s="589"/>
      <c r="F58" s="589"/>
      <c r="G58" s="589"/>
      <c r="H58" s="589"/>
      <c r="I58" s="589"/>
      <c r="J58" s="589"/>
      <c r="K58" s="589"/>
      <c r="L58" s="590"/>
      <c r="M58" s="590">
        <f>SUMIF($AA$28:$AA$54,"landbouw",M28:M54)</f>
        <v>34872</v>
      </c>
      <c r="N58" s="590">
        <f>SUMIF($AA$28:$AA$54,"landbouw",N28:N54)</f>
        <v>154013.625</v>
      </c>
      <c r="O58" s="590">
        <f>SUMIF($AA$28:$AA$54,"landbouw",O28:O54)</f>
        <v>213014.25</v>
      </c>
      <c r="P58" s="590">
        <f>SUMIF($AA$28:$AA$54,"landbouw",P28:P54)</f>
        <v>374078.57142857142</v>
      </c>
      <c r="Q58" s="590">
        <f>SUMIF($AA$28:$AA$54,"landbouw",Q28:Q54)</f>
        <v>0</v>
      </c>
      <c r="R58" s="590">
        <f>SUMIF($AA$28:$AA$54,"landbouw",R28:R54)</f>
        <v>0</v>
      </c>
      <c r="S58" s="590">
        <f>SUMIF($AA$28:$AA$54,"landbouw",S28:S54)</f>
        <v>11610</v>
      </c>
      <c r="T58" s="590">
        <f>SUMIF($AA$28:$AA$54,"landbouw",T28:T54)</f>
        <v>46080</v>
      </c>
      <c r="U58" s="590">
        <f>SUMIF($AA$28:$AA$54,"landbouw",U28:U54)</f>
        <v>0</v>
      </c>
      <c r="V58" s="590">
        <f>SUMIF($AA$28:$AA$54,"landbouw",V28:V54)</f>
        <v>28.928571428571431</v>
      </c>
      <c r="W58" s="590">
        <f>SUMIF($AA$28:$AA$54,"landbouw",W28:W54)</f>
        <v>0</v>
      </c>
      <c r="X58" s="590"/>
      <c r="Y58" s="591"/>
      <c r="Z58" s="591"/>
      <c r="AA58" s="592"/>
    </row>
    <row r="59" spans="1:27" s="532" customFormat="1" ht="15.75" thickBot="1">
      <c r="A59" s="593"/>
      <c r="B59" s="594"/>
      <c r="C59" s="594"/>
      <c r="D59" s="594"/>
      <c r="E59" s="594"/>
      <c r="F59" s="594"/>
      <c r="G59" s="594"/>
      <c r="H59" s="594"/>
      <c r="I59" s="594"/>
      <c r="J59" s="594"/>
      <c r="K59" s="594"/>
      <c r="L59" s="577"/>
      <c r="M59" s="577"/>
      <c r="N59" s="577"/>
      <c r="O59" s="578"/>
      <c r="P59" s="578"/>
    </row>
    <row r="60" spans="1:27" s="532" customFormat="1" ht="45">
      <c r="A60" s="595" t="s">
        <v>270</v>
      </c>
      <c r="B60" s="624" t="s">
        <v>89</v>
      </c>
      <c r="C60" s="624" t="s">
        <v>90</v>
      </c>
      <c r="D60" s="624"/>
      <c r="E60" s="624"/>
      <c r="F60" s="624"/>
      <c r="G60" s="624" t="s">
        <v>91</v>
      </c>
      <c r="H60" s="624" t="s">
        <v>92</v>
      </c>
      <c r="I60" s="624"/>
      <c r="J60" s="624"/>
      <c r="K60" s="624"/>
      <c r="L60" s="624" t="s">
        <v>93</v>
      </c>
      <c r="M60" s="625" t="s">
        <v>287</v>
      </c>
      <c r="N60" s="625" t="s">
        <v>94</v>
      </c>
      <c r="O60" s="625" t="s">
        <v>95</v>
      </c>
      <c r="P60" s="625" t="s">
        <v>533</v>
      </c>
      <c r="Q60" s="625" t="s">
        <v>96</v>
      </c>
      <c r="R60" s="625" t="s">
        <v>97</v>
      </c>
      <c r="S60" s="625" t="s">
        <v>98</v>
      </c>
      <c r="T60" s="625" t="s">
        <v>99</v>
      </c>
      <c r="U60" s="625" t="s">
        <v>100</v>
      </c>
      <c r="V60" s="625" t="s">
        <v>101</v>
      </c>
      <c r="W60" s="624" t="s">
        <v>102</v>
      </c>
      <c r="X60" s="624" t="s">
        <v>941</v>
      </c>
      <c r="Y60" s="624" t="s">
        <v>288</v>
      </c>
      <c r="Z60" s="624" t="s">
        <v>103</v>
      </c>
      <c r="AA60" s="626" t="s">
        <v>289</v>
      </c>
    </row>
    <row r="61" spans="1:27" s="596" customFormat="1" ht="12.75" hidden="1">
      <c r="A61" s="582"/>
      <c r="B61" s="740"/>
      <c r="C61" s="740"/>
      <c r="D61" s="630"/>
      <c r="E61" s="630"/>
      <c r="F61" s="630"/>
      <c r="G61" s="630"/>
      <c r="H61" s="630"/>
      <c r="I61" s="630"/>
      <c r="J61" s="739"/>
      <c r="K61" s="739"/>
      <c r="L61" s="630"/>
      <c r="M61" s="630"/>
      <c r="N61" s="630"/>
      <c r="O61" s="630"/>
      <c r="P61" s="630"/>
      <c r="Q61" s="630"/>
      <c r="R61" s="630"/>
      <c r="S61" s="630"/>
      <c r="T61" s="630"/>
      <c r="U61" s="630"/>
      <c r="V61" s="630"/>
      <c r="W61" s="630"/>
      <c r="X61" s="630"/>
      <c r="Y61" s="630"/>
      <c r="Z61" s="630"/>
      <c r="AA61" s="631"/>
    </row>
    <row r="62" spans="1:27" s="563" customFormat="1" hidden="1">
      <c r="A62" s="583" t="s">
        <v>269</v>
      </c>
      <c r="B62" s="584"/>
      <c r="C62" s="584"/>
      <c r="D62" s="584"/>
      <c r="E62" s="584"/>
      <c r="F62" s="584"/>
      <c r="G62" s="584"/>
      <c r="H62" s="584"/>
      <c r="I62" s="584"/>
      <c r="J62" s="584"/>
      <c r="K62" s="584"/>
      <c r="L62" s="585"/>
      <c r="M62" s="585">
        <f>SUM(M61:M61)</f>
        <v>0</v>
      </c>
      <c r="N62" s="585">
        <f>SUM(N61:N61)</f>
        <v>0</v>
      </c>
      <c r="O62" s="585">
        <f>SUM(O61:O61)</f>
        <v>0</v>
      </c>
      <c r="P62" s="585">
        <f>SUM(P61:P61)</f>
        <v>0</v>
      </c>
      <c r="Q62" s="585">
        <f>SUM(Q61:Q61)</f>
        <v>0</v>
      </c>
      <c r="R62" s="585">
        <f>SUM(R61:R61)</f>
        <v>0</v>
      </c>
      <c r="S62" s="585">
        <f>SUM(S61:S61)</f>
        <v>0</v>
      </c>
      <c r="T62" s="585">
        <f>SUM(T61:T61)</f>
        <v>0</v>
      </c>
      <c r="U62" s="585">
        <f>SUM(U61:U61)</f>
        <v>0</v>
      </c>
      <c r="V62" s="585">
        <f>SUM(V61:V61)</f>
        <v>0</v>
      </c>
      <c r="W62" s="585">
        <f>SUM(W61:W61)</f>
        <v>0</v>
      </c>
      <c r="X62" s="585"/>
      <c r="Y62" s="586"/>
      <c r="Z62" s="586"/>
      <c r="AA62" s="587"/>
    </row>
    <row r="63" spans="1:27" s="563" customFormat="1">
      <c r="A63" s="583" t="s">
        <v>276</v>
      </c>
      <c r="B63" s="584"/>
      <c r="C63" s="584"/>
      <c r="D63" s="584"/>
      <c r="E63" s="584"/>
      <c r="F63" s="584"/>
      <c r="G63" s="584"/>
      <c r="H63" s="584"/>
      <c r="I63" s="584"/>
      <c r="J63" s="584"/>
      <c r="K63" s="584"/>
      <c r="L63" s="585"/>
      <c r="M63" s="585">
        <f>SUMIF($AA$61:$AA$61,"industrie",M61:M61)</f>
        <v>0</v>
      </c>
      <c r="N63" s="585">
        <f>SUMIF($AA$61:$AA$61,"industrie",N61:N61)</f>
        <v>0</v>
      </c>
      <c r="O63" s="585">
        <f>SUMIF($AA$61:$AA$61,"industrie",O61:O61)</f>
        <v>0</v>
      </c>
      <c r="P63" s="585">
        <f>SUMIF($AA$61:$AA$61,"industrie",P61:P61)</f>
        <v>0</v>
      </c>
      <c r="Q63" s="585">
        <f>SUMIF($AA$61:$AA$61,"industrie",Q61:Q61)</f>
        <v>0</v>
      </c>
      <c r="R63" s="585">
        <f>SUMIF($AA$61:$AA$61,"industrie",R61:R61)</f>
        <v>0</v>
      </c>
      <c r="S63" s="585">
        <f>SUMIF($AA$61:$AA$61,"industrie",S61:S61)</f>
        <v>0</v>
      </c>
      <c r="T63" s="585">
        <f>SUMIF($AA$61:$AA$61,"industrie",T61:T61)</f>
        <v>0</v>
      </c>
      <c r="U63" s="585">
        <f>SUMIF($AA$61:$AA$61,"industrie",U61:U61)</f>
        <v>0</v>
      </c>
      <c r="V63" s="585">
        <f>SUMIF($AA$61:$AA$61,"industrie",V61:V61)</f>
        <v>0</v>
      </c>
      <c r="W63" s="585">
        <f>SUMIF($AA$61:$AA$61,"industrie",W61:W61)</f>
        <v>0</v>
      </c>
      <c r="X63" s="585"/>
      <c r="Y63" s="586"/>
      <c r="Z63" s="586"/>
      <c r="AA63" s="587"/>
    </row>
    <row r="64" spans="1:27" s="563" customFormat="1">
      <c r="A64" s="583" t="s">
        <v>277</v>
      </c>
      <c r="B64" s="584"/>
      <c r="C64" s="584"/>
      <c r="D64" s="584"/>
      <c r="E64" s="584"/>
      <c r="F64" s="584"/>
      <c r="G64" s="584"/>
      <c r="H64" s="584"/>
      <c r="I64" s="584"/>
      <c r="J64" s="584"/>
      <c r="K64" s="584"/>
      <c r="L64" s="585"/>
      <c r="M64" s="585">
        <f>SUMIF($AA$61:$AA$62,"tertiair",M61:M62)</f>
        <v>0</v>
      </c>
      <c r="N64" s="585">
        <f>SUMIF($AA$61:$AA$62,"tertiair",N61:N62)</f>
        <v>0</v>
      </c>
      <c r="O64" s="585">
        <f>SUMIF($AA$61:$AA$62,"tertiair",O61:O62)</f>
        <v>0</v>
      </c>
      <c r="P64" s="585">
        <f>SUMIF($AA$61:$AA$62,"tertiair",P61:P62)</f>
        <v>0</v>
      </c>
      <c r="Q64" s="585">
        <f>SUMIF($AA$61:$AA$62,"tertiair",Q61:Q62)</f>
        <v>0</v>
      </c>
      <c r="R64" s="585">
        <f>SUMIF($AA$61:$AA$62,"tertiair",R61:R62)</f>
        <v>0</v>
      </c>
      <c r="S64" s="585">
        <f>SUMIF($AA$61:$AA$62,"tertiair",S61:S62)</f>
        <v>0</v>
      </c>
      <c r="T64" s="585">
        <f>SUMIF($AA$61:$AA$62,"tertiair",T61:T62)</f>
        <v>0</v>
      </c>
      <c r="U64" s="585">
        <f>SUMIF($AA$61:$AA$62,"tertiair",U61:U62)</f>
        <v>0</v>
      </c>
      <c r="V64" s="585">
        <f>SUMIF($AA$61:$AA$62,"tertiair",V61:V62)</f>
        <v>0</v>
      </c>
      <c r="W64" s="585">
        <f>SUMIF($AA$61:$AA$62,"tertiair",W61:W62)</f>
        <v>0</v>
      </c>
      <c r="X64" s="585"/>
      <c r="Y64" s="586"/>
      <c r="Z64" s="586"/>
      <c r="AA64" s="587"/>
    </row>
    <row r="65" spans="1:28" s="563" customFormat="1" ht="15.75" thickBot="1">
      <c r="A65" s="588" t="s">
        <v>278</v>
      </c>
      <c r="B65" s="589"/>
      <c r="C65" s="589"/>
      <c r="D65" s="589"/>
      <c r="E65" s="589"/>
      <c r="F65" s="589"/>
      <c r="G65" s="589"/>
      <c r="H65" s="589"/>
      <c r="I65" s="589"/>
      <c r="J65" s="589"/>
      <c r="K65" s="589"/>
      <c r="L65" s="590"/>
      <c r="M65" s="590">
        <f>SUMIF($AA$61:$AA$63,"landbouw",M61:M63)</f>
        <v>0</v>
      </c>
      <c r="N65" s="590">
        <f>SUMIF($AA$61:$AA$63,"landbouw",N61:N63)</f>
        <v>0</v>
      </c>
      <c r="O65" s="590">
        <f>SUMIF($AA$61:$AA$63,"landbouw",O61:O63)</f>
        <v>0</v>
      </c>
      <c r="P65" s="590">
        <f>SUMIF($AA$61:$AA$63,"landbouw",P61:P63)</f>
        <v>0</v>
      </c>
      <c r="Q65" s="590">
        <f>SUMIF($AA$61:$AA$63,"landbouw",Q61:Q63)</f>
        <v>0</v>
      </c>
      <c r="R65" s="590">
        <f>SUMIF($AA$61:$AA$63,"landbouw",R61:R63)</f>
        <v>0</v>
      </c>
      <c r="S65" s="590">
        <f>SUMIF($AA$61:$AA$63,"landbouw",S61:S63)</f>
        <v>0</v>
      </c>
      <c r="T65" s="590">
        <f>SUMIF($AA$61:$AA$63,"landbouw",T61:T63)</f>
        <v>0</v>
      </c>
      <c r="U65" s="590">
        <f>SUMIF($AA$61:$AA$63,"landbouw",U61:U63)</f>
        <v>0</v>
      </c>
      <c r="V65" s="590">
        <f>SUMIF($AA$61:$AA$63,"landbouw",V61:V63)</f>
        <v>0</v>
      </c>
      <c r="W65" s="590">
        <f>SUMIF($AA$61:$AA$63,"landbouw",W61:W63)</f>
        <v>0</v>
      </c>
      <c r="X65" s="590"/>
      <c r="Y65" s="591"/>
      <c r="Z65" s="591"/>
      <c r="AA65" s="592"/>
    </row>
    <row r="66" spans="1:28" s="597" customFormat="1">
      <c r="A66" s="593"/>
      <c r="B66" s="577"/>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row>
    <row r="67" spans="1:28" s="597" customFormat="1" ht="15.75" thickBot="1">
      <c r="A67" s="593"/>
      <c r="B67" s="577"/>
      <c r="C67" s="577"/>
      <c r="D67" s="577"/>
      <c r="E67" s="577"/>
      <c r="F67" s="577"/>
      <c r="G67" s="577"/>
      <c r="H67" s="577"/>
      <c r="I67" s="577"/>
      <c r="J67" s="577"/>
      <c r="K67" s="577"/>
      <c r="L67" s="577"/>
      <c r="M67" s="577"/>
      <c r="N67" s="577"/>
      <c r="O67" s="577"/>
      <c r="P67" s="577"/>
      <c r="Q67" s="577"/>
      <c r="R67" s="577"/>
      <c r="S67" s="577"/>
      <c r="T67" s="577"/>
      <c r="U67" s="577"/>
      <c r="V67" s="577"/>
      <c r="W67" s="577"/>
      <c r="X67" s="577"/>
      <c r="Y67" s="577"/>
      <c r="Z67" s="577"/>
      <c r="AA67" s="577"/>
      <c r="AB67" s="577"/>
    </row>
    <row r="68" spans="1:28">
      <c r="A68" s="598" t="s">
        <v>271</v>
      </c>
      <c r="B68" s="599"/>
      <c r="C68" s="599"/>
      <c r="D68" s="599"/>
      <c r="E68" s="599"/>
      <c r="F68" s="599"/>
      <c r="G68" s="599"/>
      <c r="H68" s="599"/>
      <c r="I68" s="600"/>
      <c r="J68" s="601"/>
      <c r="K68" s="601"/>
      <c r="L68" s="602"/>
      <c r="M68" s="602"/>
      <c r="N68" s="602"/>
      <c r="O68" s="602"/>
      <c r="P68" s="602"/>
    </row>
    <row r="69" spans="1:28">
      <c r="A69" s="604"/>
      <c r="B69" s="594"/>
      <c r="C69" s="594"/>
      <c r="D69" s="594"/>
      <c r="E69" s="594"/>
      <c r="F69" s="594"/>
      <c r="G69" s="594"/>
      <c r="H69" s="594"/>
      <c r="I69" s="605"/>
      <c r="J69" s="594"/>
      <c r="K69" s="594"/>
      <c r="L69" s="602"/>
      <c r="M69" s="602"/>
      <c r="N69" s="602"/>
      <c r="O69" s="602"/>
      <c r="P69" s="602"/>
    </row>
    <row r="70" spans="1:28">
      <c r="A70" s="606"/>
      <c r="B70" s="607" t="s">
        <v>272</v>
      </c>
      <c r="C70" s="607" t="s">
        <v>273</v>
      </c>
      <c r="D70" s="607"/>
      <c r="E70" s="607"/>
      <c r="F70" s="607"/>
      <c r="G70" s="607"/>
      <c r="H70" s="607"/>
      <c r="I70" s="608"/>
      <c r="J70" s="607"/>
      <c r="K70" s="607"/>
      <c r="L70" s="607"/>
      <c r="M70" s="607"/>
      <c r="N70" s="607"/>
      <c r="O70" s="607"/>
      <c r="P70" s="602"/>
    </row>
    <row r="71" spans="1:28">
      <c r="A71" s="604" t="s">
        <v>269</v>
      </c>
      <c r="B71" s="609">
        <f>IF(ISERROR(O55/(O55+N55)),0,O55/(O55+N55))</f>
        <v>0.5804319821012508</v>
      </c>
      <c r="C71" s="610">
        <f>IF(ISERROR(N55/(O55+N55)),0,N55/(N55+O55))</f>
        <v>0.41956801789874909</v>
      </c>
      <c r="D71" s="577"/>
      <c r="E71" s="577"/>
      <c r="F71" s="577"/>
      <c r="G71" s="577"/>
      <c r="H71" s="577"/>
      <c r="I71" s="611"/>
      <c r="J71" s="577"/>
      <c r="K71" s="577"/>
      <c r="L71" s="612"/>
      <c r="M71" s="612"/>
      <c r="N71" s="612"/>
      <c r="O71" s="612"/>
      <c r="P71" s="602"/>
    </row>
    <row r="72" spans="1:28">
      <c r="A72" s="604"/>
      <c r="B72" s="613"/>
      <c r="C72" s="613"/>
      <c r="D72" s="613"/>
      <c r="E72" s="613"/>
      <c r="F72" s="613"/>
      <c r="G72" s="613"/>
      <c r="H72" s="613"/>
      <c r="I72" s="614"/>
      <c r="J72" s="613"/>
      <c r="K72" s="613"/>
      <c r="L72" s="615"/>
      <c r="M72" s="615"/>
      <c r="N72" s="615"/>
      <c r="O72" s="615"/>
      <c r="P72" s="602"/>
    </row>
    <row r="73" spans="1:28" ht="30">
      <c r="A73" s="616"/>
      <c r="B73" s="617" t="s">
        <v>533</v>
      </c>
      <c r="C73" s="617" t="s">
        <v>96</v>
      </c>
      <c r="D73" s="617" t="s">
        <v>97</v>
      </c>
      <c r="E73" s="617" t="s">
        <v>98</v>
      </c>
      <c r="F73" s="617" t="s">
        <v>99</v>
      </c>
      <c r="G73" s="617" t="s">
        <v>100</v>
      </c>
      <c r="H73" s="617" t="s">
        <v>101</v>
      </c>
      <c r="I73" s="618" t="s">
        <v>102</v>
      </c>
      <c r="J73" s="607"/>
      <c r="K73" s="607"/>
      <c r="L73" s="615"/>
      <c r="M73" s="615"/>
      <c r="N73" s="615"/>
      <c r="O73" s="602"/>
      <c r="P73" s="602"/>
    </row>
    <row r="74" spans="1:28">
      <c r="A74" s="606" t="s">
        <v>274</v>
      </c>
      <c r="B74" s="619">
        <f t="shared" ref="B74:I74" si="2">$C$71*P55</f>
        <v>158246.07177934033</v>
      </c>
      <c r="C74" s="619">
        <f t="shared" si="2"/>
        <v>0</v>
      </c>
      <c r="D74" s="619">
        <f t="shared" si="2"/>
        <v>0</v>
      </c>
      <c r="E74" s="619">
        <f t="shared" si="2"/>
        <v>4871.1846878044771</v>
      </c>
      <c r="F74" s="619">
        <f t="shared" si="2"/>
        <v>19333.694264774356</v>
      </c>
      <c r="G74" s="619">
        <f t="shared" si="2"/>
        <v>0</v>
      </c>
      <c r="H74" s="619">
        <f t="shared" si="2"/>
        <v>12.1375033749281</v>
      </c>
      <c r="I74" s="620">
        <f t="shared" si="2"/>
        <v>0</v>
      </c>
      <c r="J74" s="577"/>
      <c r="K74" s="577"/>
      <c r="L74" s="615"/>
      <c r="M74" s="615"/>
      <c r="N74" s="615"/>
      <c r="O74" s="602"/>
      <c r="P74" s="602"/>
    </row>
    <row r="75" spans="1:28" ht="15.75" thickBot="1">
      <c r="A75" s="621" t="s">
        <v>275</v>
      </c>
      <c r="B75" s="622">
        <f t="shared" ref="B75:I75" si="3">$B$71*P55</f>
        <v>218918.21393494532</v>
      </c>
      <c r="C75" s="622">
        <f t="shared" si="3"/>
        <v>0</v>
      </c>
      <c r="D75" s="622">
        <f t="shared" si="3"/>
        <v>0</v>
      </c>
      <c r="E75" s="622">
        <f t="shared" si="3"/>
        <v>6738.815312195522</v>
      </c>
      <c r="F75" s="622">
        <f t="shared" si="3"/>
        <v>26746.305735225636</v>
      </c>
      <c r="G75" s="622">
        <f t="shared" si="3"/>
        <v>0</v>
      </c>
      <c r="H75" s="622">
        <f t="shared" si="3"/>
        <v>16.791068053643329</v>
      </c>
      <c r="I75" s="623">
        <f t="shared" si="3"/>
        <v>0</v>
      </c>
      <c r="J75" s="577"/>
      <c r="K75" s="577"/>
      <c r="L75" s="615"/>
      <c r="M75" s="615"/>
      <c r="N75" s="615"/>
      <c r="O75" s="602"/>
      <c r="P75" s="602"/>
    </row>
    <row r="76" spans="1:28">
      <c r="J76" s="561"/>
      <c r="K76" s="561"/>
      <c r="L76" s="561"/>
      <c r="M76" s="561"/>
      <c r="N76" s="561"/>
    </row>
    <row r="77" spans="1:28">
      <c r="J77" s="561"/>
      <c r="K77" s="561"/>
      <c r="L77" s="561"/>
      <c r="M77" s="561"/>
      <c r="N77"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55026.674778193308</v>
      </c>
      <c r="D10" s="639">
        <f ca="1">tertiair!C16</f>
        <v>1542.8571428571429</v>
      </c>
      <c r="E10" s="639">
        <f ca="1">tertiair!D16</f>
        <v>46252.596923617682</v>
      </c>
      <c r="F10" s="639">
        <f>tertiair!E16</f>
        <v>432.02326318186283</v>
      </c>
      <c r="G10" s="639">
        <f ca="1">tertiair!F16</f>
        <v>10277.354432872728</v>
      </c>
      <c r="H10" s="639">
        <f>tertiair!G16</f>
        <v>0</v>
      </c>
      <c r="I10" s="639">
        <f>tertiair!H16</f>
        <v>0</v>
      </c>
      <c r="J10" s="639">
        <f>tertiair!I16</f>
        <v>0</v>
      </c>
      <c r="K10" s="639">
        <f>tertiair!J16</f>
        <v>0</v>
      </c>
      <c r="L10" s="639">
        <f>tertiair!K16</f>
        <v>0</v>
      </c>
      <c r="M10" s="639">
        <f ca="1">tertiair!L16</f>
        <v>0</v>
      </c>
      <c r="N10" s="639">
        <f>tertiair!M16</f>
        <v>0</v>
      </c>
      <c r="O10" s="639">
        <f ca="1">tertiair!N16</f>
        <v>1208.088097079383</v>
      </c>
      <c r="P10" s="639">
        <f>tertiair!O16</f>
        <v>3.1266666666666669</v>
      </c>
      <c r="Q10" s="640">
        <f>tertiair!P16</f>
        <v>19.066666666666666</v>
      </c>
      <c r="R10" s="642">
        <f ca="1">SUM(C10:Q10)</f>
        <v>114761.78797113543</v>
      </c>
      <c r="S10" s="68"/>
    </row>
    <row r="11" spans="1:19" s="443" customFormat="1">
      <c r="A11" s="753" t="s">
        <v>214</v>
      </c>
      <c r="B11" s="758"/>
      <c r="C11" s="639">
        <f>huishoudens!B8</f>
        <v>36976.771521543298</v>
      </c>
      <c r="D11" s="639">
        <f>huishoudens!C8</f>
        <v>0</v>
      </c>
      <c r="E11" s="639">
        <f>huishoudens!D8</f>
        <v>85140.90956375534</v>
      </c>
      <c r="F11" s="639">
        <f>huishoudens!E8</f>
        <v>1708.3904205014403</v>
      </c>
      <c r="G11" s="639">
        <f>huishoudens!F8</f>
        <v>52083.863958251008</v>
      </c>
      <c r="H11" s="639">
        <f>huishoudens!G8</f>
        <v>0</v>
      </c>
      <c r="I11" s="639">
        <f>huishoudens!H8</f>
        <v>0</v>
      </c>
      <c r="J11" s="639">
        <f>huishoudens!I8</f>
        <v>0</v>
      </c>
      <c r="K11" s="639">
        <f>huishoudens!J8</f>
        <v>945.0435631170518</v>
      </c>
      <c r="L11" s="639">
        <f>huishoudens!K8</f>
        <v>0</v>
      </c>
      <c r="M11" s="639">
        <f>huishoudens!L8</f>
        <v>0</v>
      </c>
      <c r="N11" s="639">
        <f>huishoudens!M8</f>
        <v>0</v>
      </c>
      <c r="O11" s="639">
        <f>huishoudens!N8</f>
        <v>11351.407892627762</v>
      </c>
      <c r="P11" s="639">
        <f>huishoudens!O8</f>
        <v>137.57333333333335</v>
      </c>
      <c r="Q11" s="640">
        <f>huishoudens!P8</f>
        <v>495.73333333333335</v>
      </c>
      <c r="R11" s="642">
        <f>SUM(C11:Q11)</f>
        <v>188839.69358646256</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5330.7837604821125</v>
      </c>
      <c r="D13" s="639">
        <f>industrie!C18</f>
        <v>0</v>
      </c>
      <c r="E13" s="639">
        <f>industrie!D18</f>
        <v>7743.9102153838267</v>
      </c>
      <c r="F13" s="639">
        <f>industrie!E18</f>
        <v>43.747130453520271</v>
      </c>
      <c r="G13" s="639">
        <f>industrie!F18</f>
        <v>1838.2436263730033</v>
      </c>
      <c r="H13" s="639">
        <f>industrie!G18</f>
        <v>0</v>
      </c>
      <c r="I13" s="639">
        <f>industrie!H18</f>
        <v>0</v>
      </c>
      <c r="J13" s="639">
        <f>industrie!I18</f>
        <v>0</v>
      </c>
      <c r="K13" s="639">
        <f>industrie!J18</f>
        <v>23.207654375363859</v>
      </c>
      <c r="L13" s="639">
        <f>industrie!K18</f>
        <v>0</v>
      </c>
      <c r="M13" s="639">
        <f>industrie!L18</f>
        <v>0</v>
      </c>
      <c r="N13" s="639">
        <f>industrie!M18</f>
        <v>0</v>
      </c>
      <c r="O13" s="639">
        <f>industrie!N18</f>
        <v>206.7129557836941</v>
      </c>
      <c r="P13" s="639">
        <f>industrie!O18</f>
        <v>0</v>
      </c>
      <c r="Q13" s="640">
        <f>industrie!P18</f>
        <v>0</v>
      </c>
      <c r="R13" s="642">
        <f>SUM(C13:Q13)</f>
        <v>15186.605342851522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97334.230060218717</v>
      </c>
      <c r="D16" s="672">
        <f t="shared" ref="D16:R16" ca="1" si="0">SUM(D9:D15)</f>
        <v>1542.8571428571429</v>
      </c>
      <c r="E16" s="672">
        <f t="shared" ca="1" si="0"/>
        <v>139137.41670275686</v>
      </c>
      <c r="F16" s="672">
        <f t="shared" si="0"/>
        <v>2184.1608141368233</v>
      </c>
      <c r="G16" s="672">
        <f t="shared" ca="1" si="0"/>
        <v>64199.462017496742</v>
      </c>
      <c r="H16" s="672">
        <f t="shared" si="0"/>
        <v>0</v>
      </c>
      <c r="I16" s="672">
        <f t="shared" si="0"/>
        <v>0</v>
      </c>
      <c r="J16" s="672">
        <f t="shared" si="0"/>
        <v>0</v>
      </c>
      <c r="K16" s="672">
        <f t="shared" si="0"/>
        <v>968.25121749241566</v>
      </c>
      <c r="L16" s="672">
        <f t="shared" si="0"/>
        <v>0</v>
      </c>
      <c r="M16" s="672">
        <f t="shared" ca="1" si="0"/>
        <v>0</v>
      </c>
      <c r="N16" s="672">
        <f t="shared" si="0"/>
        <v>0</v>
      </c>
      <c r="O16" s="672">
        <f t="shared" ca="1" si="0"/>
        <v>12766.208945490838</v>
      </c>
      <c r="P16" s="672">
        <f t="shared" si="0"/>
        <v>140.70000000000002</v>
      </c>
      <c r="Q16" s="672">
        <f t="shared" si="0"/>
        <v>514.80000000000007</v>
      </c>
      <c r="R16" s="672">
        <f t="shared" ca="1" si="0"/>
        <v>318788.08690044953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12.946208691803321</v>
      </c>
      <c r="D19" s="639">
        <f>transport!C54</f>
        <v>0</v>
      </c>
      <c r="E19" s="639">
        <f>transport!D54</f>
        <v>0</v>
      </c>
      <c r="F19" s="639">
        <f>transport!E54</f>
        <v>0</v>
      </c>
      <c r="G19" s="639">
        <f>transport!F54</f>
        <v>0</v>
      </c>
      <c r="H19" s="639">
        <f>transport!G54</f>
        <v>2582.14691939677</v>
      </c>
      <c r="I19" s="639">
        <f>transport!H54</f>
        <v>0</v>
      </c>
      <c r="J19" s="639">
        <f>transport!I54</f>
        <v>0</v>
      </c>
      <c r="K19" s="639">
        <f>transport!J54</f>
        <v>0</v>
      </c>
      <c r="L19" s="639">
        <f>transport!K54</f>
        <v>0</v>
      </c>
      <c r="M19" s="639">
        <f>transport!L54</f>
        <v>0</v>
      </c>
      <c r="N19" s="639">
        <f>transport!M54</f>
        <v>114.12814374002809</v>
      </c>
      <c r="O19" s="639">
        <f>transport!N54</f>
        <v>0</v>
      </c>
      <c r="P19" s="639">
        <f>transport!O54</f>
        <v>0</v>
      </c>
      <c r="Q19" s="640">
        <f>transport!P54</f>
        <v>0</v>
      </c>
      <c r="R19" s="642">
        <f>SUM(C19:Q19)</f>
        <v>2709.2212718286014</v>
      </c>
      <c r="S19" s="68"/>
    </row>
    <row r="20" spans="1:19" s="443" customFormat="1">
      <c r="A20" s="753" t="s">
        <v>296</v>
      </c>
      <c r="B20" s="758"/>
      <c r="C20" s="639">
        <f>transport!B14</f>
        <v>3.0379490033913874</v>
      </c>
      <c r="D20" s="639">
        <f>transport!C14</f>
        <v>0</v>
      </c>
      <c r="E20" s="639">
        <f>transport!D14</f>
        <v>3.8756433798005769</v>
      </c>
      <c r="F20" s="639">
        <f>transport!E14</f>
        <v>246.83491666532532</v>
      </c>
      <c r="G20" s="639">
        <f>transport!F14</f>
        <v>0</v>
      </c>
      <c r="H20" s="639">
        <f>transport!G14</f>
        <v>50664.58348997467</v>
      </c>
      <c r="I20" s="639">
        <f>transport!H14</f>
        <v>9861.1012322166043</v>
      </c>
      <c r="J20" s="639">
        <f>transport!I14</f>
        <v>0</v>
      </c>
      <c r="K20" s="639">
        <f>transport!J14</f>
        <v>0</v>
      </c>
      <c r="L20" s="639">
        <f>transport!K14</f>
        <v>0</v>
      </c>
      <c r="M20" s="639">
        <f>transport!L14</f>
        <v>0</v>
      </c>
      <c r="N20" s="639">
        <f>transport!M14</f>
        <v>2706.0471396646335</v>
      </c>
      <c r="O20" s="639">
        <f>transport!N14</f>
        <v>0</v>
      </c>
      <c r="P20" s="639">
        <f>transport!O14</f>
        <v>0</v>
      </c>
      <c r="Q20" s="640">
        <f>transport!P14</f>
        <v>0</v>
      </c>
      <c r="R20" s="642">
        <f>SUM(C20:Q20)</f>
        <v>63485.480370904428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15.984157695194709</v>
      </c>
      <c r="D22" s="756">
        <f t="shared" ref="D22:R22" si="1">SUM(D18:D21)</f>
        <v>0</v>
      </c>
      <c r="E22" s="756">
        <f t="shared" si="1"/>
        <v>3.8756433798005769</v>
      </c>
      <c r="F22" s="756">
        <f t="shared" si="1"/>
        <v>246.83491666532532</v>
      </c>
      <c r="G22" s="756">
        <f t="shared" si="1"/>
        <v>0</v>
      </c>
      <c r="H22" s="756">
        <f t="shared" si="1"/>
        <v>53246.730409371441</v>
      </c>
      <c r="I22" s="756">
        <f t="shared" si="1"/>
        <v>9861.1012322166043</v>
      </c>
      <c r="J22" s="756">
        <f t="shared" si="1"/>
        <v>0</v>
      </c>
      <c r="K22" s="756">
        <f t="shared" si="1"/>
        <v>0</v>
      </c>
      <c r="L22" s="756">
        <f t="shared" si="1"/>
        <v>0</v>
      </c>
      <c r="M22" s="756">
        <f t="shared" si="1"/>
        <v>0</v>
      </c>
      <c r="N22" s="756">
        <f t="shared" si="1"/>
        <v>2820.1752834046615</v>
      </c>
      <c r="O22" s="756">
        <f t="shared" si="1"/>
        <v>0</v>
      </c>
      <c r="P22" s="756">
        <f t="shared" si="1"/>
        <v>0</v>
      </c>
      <c r="Q22" s="756">
        <f t="shared" si="1"/>
        <v>0</v>
      </c>
      <c r="R22" s="756">
        <f t="shared" si="1"/>
        <v>66194.701642733024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6555.4258273105916</v>
      </c>
      <c r="D24" s="639">
        <f>+landbouw!C8</f>
        <v>213014.25</v>
      </c>
      <c r="E24" s="639">
        <f>+landbouw!D8</f>
        <v>66001.163757808506</v>
      </c>
      <c r="F24" s="639">
        <f>+landbouw!E8</f>
        <v>64.736023187299494</v>
      </c>
      <c r="G24" s="639">
        <f>+landbouw!F8</f>
        <v>10260.635112268355</v>
      </c>
      <c r="H24" s="639">
        <f>+landbouw!G8</f>
        <v>0</v>
      </c>
      <c r="I24" s="639">
        <f>+landbouw!H8</f>
        <v>0</v>
      </c>
      <c r="J24" s="639">
        <f>+landbouw!I8</f>
        <v>0</v>
      </c>
      <c r="K24" s="639">
        <f>+landbouw!J8</f>
        <v>654.03252627449126</v>
      </c>
      <c r="L24" s="639">
        <f>+landbouw!K8</f>
        <v>0</v>
      </c>
      <c r="M24" s="639">
        <f>+landbouw!L8</f>
        <v>0</v>
      </c>
      <c r="N24" s="639">
        <f>+landbouw!M8</f>
        <v>0</v>
      </c>
      <c r="O24" s="639">
        <f>+landbouw!N8</f>
        <v>0</v>
      </c>
      <c r="P24" s="639">
        <f>+landbouw!O8</f>
        <v>0</v>
      </c>
      <c r="Q24" s="640">
        <f>+landbouw!P8</f>
        <v>0</v>
      </c>
      <c r="R24" s="642">
        <f>SUM(C24:Q24)</f>
        <v>296550.24324684922</v>
      </c>
      <c r="S24" s="68"/>
    </row>
    <row r="25" spans="1:19" s="443" customFormat="1" ht="15" thickBot="1">
      <c r="A25" s="775" t="s">
        <v>847</v>
      </c>
      <c r="B25" s="941"/>
      <c r="C25" s="942">
        <f>IF(Onbekend_ele_kWh="---",0,Onbekend_ele_kWh)/1000+IF(REST_rest_ele_kWh="---",0,REST_rest_ele_kWh)/1000</f>
        <v>1092.0708794563302</v>
      </c>
      <c r="D25" s="942"/>
      <c r="E25" s="942">
        <f>IF(onbekend_gas_kWh="---",0,onbekend_gas_kWh)/1000+IF(REST_rest_gas_kWh="---",0,REST_rest_gas_kWh)/1000</f>
        <v>3290.5689494810699</v>
      </c>
      <c r="F25" s="942"/>
      <c r="G25" s="942"/>
      <c r="H25" s="942"/>
      <c r="I25" s="942"/>
      <c r="J25" s="942"/>
      <c r="K25" s="942"/>
      <c r="L25" s="942"/>
      <c r="M25" s="942"/>
      <c r="N25" s="942"/>
      <c r="O25" s="942"/>
      <c r="P25" s="942"/>
      <c r="Q25" s="943"/>
      <c r="R25" s="642">
        <f>SUM(C25:Q25)</f>
        <v>4382.6398289374001</v>
      </c>
      <c r="S25" s="68"/>
    </row>
    <row r="26" spans="1:19" s="443" customFormat="1" ht="15.75" thickBot="1">
      <c r="A26" s="645" t="s">
        <v>848</v>
      </c>
      <c r="B26" s="761"/>
      <c r="C26" s="756">
        <f>SUM(C24:C25)</f>
        <v>7647.4967067669222</v>
      </c>
      <c r="D26" s="756">
        <f t="shared" ref="D26:R26" si="2">SUM(D24:D25)</f>
        <v>213014.25</v>
      </c>
      <c r="E26" s="756">
        <f t="shared" si="2"/>
        <v>69291.732707289571</v>
      </c>
      <c r="F26" s="756">
        <f t="shared" si="2"/>
        <v>64.736023187299494</v>
      </c>
      <c r="G26" s="756">
        <f t="shared" si="2"/>
        <v>10260.635112268355</v>
      </c>
      <c r="H26" s="756">
        <f t="shared" si="2"/>
        <v>0</v>
      </c>
      <c r="I26" s="756">
        <f t="shared" si="2"/>
        <v>0</v>
      </c>
      <c r="J26" s="756">
        <f t="shared" si="2"/>
        <v>0</v>
      </c>
      <c r="K26" s="756">
        <f t="shared" si="2"/>
        <v>654.03252627449126</v>
      </c>
      <c r="L26" s="756">
        <f t="shared" si="2"/>
        <v>0</v>
      </c>
      <c r="M26" s="756">
        <f t="shared" si="2"/>
        <v>0</v>
      </c>
      <c r="N26" s="756">
        <f t="shared" si="2"/>
        <v>0</v>
      </c>
      <c r="O26" s="756">
        <f t="shared" si="2"/>
        <v>0</v>
      </c>
      <c r="P26" s="756">
        <f t="shared" si="2"/>
        <v>0</v>
      </c>
      <c r="Q26" s="756">
        <f t="shared" si="2"/>
        <v>0</v>
      </c>
      <c r="R26" s="756">
        <f t="shared" si="2"/>
        <v>300932.88307578664</v>
      </c>
      <c r="S26" s="68"/>
    </row>
    <row r="27" spans="1:19" s="443" customFormat="1" ht="17.25" thickTop="1" thickBot="1">
      <c r="A27" s="646" t="s">
        <v>109</v>
      </c>
      <c r="B27" s="748"/>
      <c r="C27" s="647">
        <f ca="1">C22+C16+C26</f>
        <v>104997.71092468082</v>
      </c>
      <c r="D27" s="647">
        <f t="shared" ref="D27:R27" ca="1" si="3">D22+D16+D26</f>
        <v>214557.10714285713</v>
      </c>
      <c r="E27" s="647">
        <f t="shared" ca="1" si="3"/>
        <v>208433.02505342624</v>
      </c>
      <c r="F27" s="647">
        <f t="shared" si="3"/>
        <v>2495.731753989448</v>
      </c>
      <c r="G27" s="647">
        <f t="shared" ca="1" si="3"/>
        <v>74460.097129765098</v>
      </c>
      <c r="H27" s="647">
        <f t="shared" si="3"/>
        <v>53246.730409371441</v>
      </c>
      <c r="I27" s="647">
        <f t="shared" si="3"/>
        <v>9861.1012322166043</v>
      </c>
      <c r="J27" s="647">
        <f t="shared" si="3"/>
        <v>0</v>
      </c>
      <c r="K27" s="647">
        <f t="shared" si="3"/>
        <v>1622.2837437669068</v>
      </c>
      <c r="L27" s="647">
        <f t="shared" si="3"/>
        <v>0</v>
      </c>
      <c r="M27" s="647">
        <f t="shared" ca="1" si="3"/>
        <v>0</v>
      </c>
      <c r="N27" s="647">
        <f t="shared" si="3"/>
        <v>2820.1752834046615</v>
      </c>
      <c r="O27" s="647">
        <f t="shared" ca="1" si="3"/>
        <v>12766.208945490838</v>
      </c>
      <c r="P27" s="647">
        <f t="shared" si="3"/>
        <v>140.70000000000002</v>
      </c>
      <c r="Q27" s="647">
        <f t="shared" si="3"/>
        <v>514.80000000000007</v>
      </c>
      <c r="R27" s="647">
        <f t="shared" ca="1" si="3"/>
        <v>685915.67161896918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11244.20314183767</v>
      </c>
      <c r="D40" s="639">
        <f ca="1">tertiair!C20</f>
        <v>330.93022577220864</v>
      </c>
      <c r="E40" s="639">
        <f ca="1">tertiair!D20</f>
        <v>9343.0245785707721</v>
      </c>
      <c r="F40" s="639">
        <f>tertiair!E20</f>
        <v>98.069280742282871</v>
      </c>
      <c r="G40" s="639">
        <f ca="1">tertiair!F20</f>
        <v>2744.0536335770184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23760.280860499952</v>
      </c>
    </row>
    <row r="41" spans="1:18">
      <c r="A41" s="766" t="s">
        <v>214</v>
      </c>
      <c r="B41" s="773"/>
      <c r="C41" s="639">
        <f ca="1">huishoudens!B12</f>
        <v>7555.8687162815695</v>
      </c>
      <c r="D41" s="639">
        <f ca="1">huishoudens!C12</f>
        <v>0</v>
      </c>
      <c r="E41" s="639">
        <f>huishoudens!D12</f>
        <v>17198.463731878579</v>
      </c>
      <c r="F41" s="639">
        <f>huishoudens!E12</f>
        <v>387.80462545382699</v>
      </c>
      <c r="G41" s="639">
        <f>huishoudens!F12</f>
        <v>13906.39167685302</v>
      </c>
      <c r="H41" s="639">
        <f>huishoudens!G12</f>
        <v>0</v>
      </c>
      <c r="I41" s="639">
        <f>huishoudens!H12</f>
        <v>0</v>
      </c>
      <c r="J41" s="639">
        <f>huishoudens!I12</f>
        <v>0</v>
      </c>
      <c r="K41" s="639">
        <f>huishoudens!J12</f>
        <v>334.54542134343632</v>
      </c>
      <c r="L41" s="639">
        <f>huishoudens!K12</f>
        <v>0</v>
      </c>
      <c r="M41" s="639">
        <f>huishoudens!L12</f>
        <v>0</v>
      </c>
      <c r="N41" s="639">
        <f>huishoudens!M12</f>
        <v>0</v>
      </c>
      <c r="O41" s="639">
        <f>huishoudens!N12</f>
        <v>0</v>
      </c>
      <c r="P41" s="639">
        <f>huishoudens!O12</f>
        <v>0</v>
      </c>
      <c r="Q41" s="714">
        <f>huishoudens!P12</f>
        <v>0</v>
      </c>
      <c r="R41" s="794">
        <f t="shared" ca="1" si="4"/>
        <v>39383.074171810433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1089.2974316489897</v>
      </c>
      <c r="D43" s="639">
        <f ca="1">industrie!C22</f>
        <v>0</v>
      </c>
      <c r="E43" s="639">
        <f>industrie!D22</f>
        <v>1564.269863507533</v>
      </c>
      <c r="F43" s="639">
        <f>industrie!E22</f>
        <v>9.9305986129491011</v>
      </c>
      <c r="G43" s="639">
        <f>industrie!F22</f>
        <v>490.81104824159189</v>
      </c>
      <c r="H43" s="639">
        <f>industrie!G22</f>
        <v>0</v>
      </c>
      <c r="I43" s="639">
        <f>industrie!H22</f>
        <v>0</v>
      </c>
      <c r="J43" s="639">
        <f>industrie!I22</f>
        <v>0</v>
      </c>
      <c r="K43" s="639">
        <f>industrie!J22</f>
        <v>8.2155096488788057</v>
      </c>
      <c r="L43" s="639">
        <f>industrie!K22</f>
        <v>0</v>
      </c>
      <c r="M43" s="639">
        <f>industrie!L22</f>
        <v>0</v>
      </c>
      <c r="N43" s="639">
        <f>industrie!M22</f>
        <v>0</v>
      </c>
      <c r="O43" s="639">
        <f>industrie!N22</f>
        <v>0</v>
      </c>
      <c r="P43" s="639">
        <f>industrie!O22</f>
        <v>0</v>
      </c>
      <c r="Q43" s="714">
        <f>industrie!P22</f>
        <v>0</v>
      </c>
      <c r="R43" s="793">
        <f t="shared" ca="1" si="4"/>
        <v>3162.5244516599428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19889.36928976823</v>
      </c>
      <c r="D46" s="672">
        <f t="shared" ref="D46:Q46" ca="1" si="5">SUM(D39:D45)</f>
        <v>330.93022577220864</v>
      </c>
      <c r="E46" s="672">
        <f t="shared" ca="1" si="5"/>
        <v>28105.758173956881</v>
      </c>
      <c r="F46" s="672">
        <f t="shared" si="5"/>
        <v>495.80450480905893</v>
      </c>
      <c r="G46" s="672">
        <f t="shared" ca="1" si="5"/>
        <v>17141.256358671628</v>
      </c>
      <c r="H46" s="672">
        <f t="shared" si="5"/>
        <v>0</v>
      </c>
      <c r="I46" s="672">
        <f t="shared" si="5"/>
        <v>0</v>
      </c>
      <c r="J46" s="672">
        <f t="shared" si="5"/>
        <v>0</v>
      </c>
      <c r="K46" s="672">
        <f t="shared" si="5"/>
        <v>342.76093099231514</v>
      </c>
      <c r="L46" s="672">
        <f t="shared" si="5"/>
        <v>0</v>
      </c>
      <c r="M46" s="672">
        <f t="shared" ca="1" si="5"/>
        <v>0</v>
      </c>
      <c r="N46" s="672">
        <f t="shared" si="5"/>
        <v>0</v>
      </c>
      <c r="O46" s="672">
        <f t="shared" ca="1" si="5"/>
        <v>0</v>
      </c>
      <c r="P46" s="672">
        <f t="shared" si="5"/>
        <v>0</v>
      </c>
      <c r="Q46" s="672">
        <f t="shared" si="5"/>
        <v>0</v>
      </c>
      <c r="R46" s="672">
        <f ca="1">SUM(R39:R45)</f>
        <v>66305.879483970333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2.6454406164653324</v>
      </c>
      <c r="D49" s="639">
        <f ca="1">transport!C58</f>
        <v>0</v>
      </c>
      <c r="E49" s="639">
        <f>transport!D58</f>
        <v>0</v>
      </c>
      <c r="F49" s="639">
        <f>transport!E58</f>
        <v>0</v>
      </c>
      <c r="G49" s="639">
        <f>transport!F58</f>
        <v>0</v>
      </c>
      <c r="H49" s="639">
        <f>transport!G58</f>
        <v>689.43322747893762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692.07866809540292</v>
      </c>
    </row>
    <row r="50" spans="1:18">
      <c r="A50" s="769" t="s">
        <v>296</v>
      </c>
      <c r="B50" s="779"/>
      <c r="C50" s="948">
        <f ca="1">transport!B18</f>
        <v>0.62077739326187964</v>
      </c>
      <c r="D50" s="948">
        <f>transport!C18</f>
        <v>0</v>
      </c>
      <c r="E50" s="948">
        <f>transport!D18</f>
        <v>0.7828799627197166</v>
      </c>
      <c r="F50" s="948">
        <f>transport!E18</f>
        <v>56.031526083028851</v>
      </c>
      <c r="G50" s="948">
        <f>transport!F18</f>
        <v>0</v>
      </c>
      <c r="H50" s="948">
        <f>transport!G18</f>
        <v>13527.443791823238</v>
      </c>
      <c r="I50" s="948">
        <f>transport!H18</f>
        <v>2455.4142068219344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16040.293182084184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3.2662180097272122</v>
      </c>
      <c r="D52" s="672">
        <f t="shared" ref="D52:Q52" ca="1" si="6">SUM(D48:D51)</f>
        <v>0</v>
      </c>
      <c r="E52" s="672">
        <f t="shared" si="6"/>
        <v>0.7828799627197166</v>
      </c>
      <c r="F52" s="672">
        <f t="shared" si="6"/>
        <v>56.031526083028851</v>
      </c>
      <c r="G52" s="672">
        <f t="shared" si="6"/>
        <v>0</v>
      </c>
      <c r="H52" s="672">
        <f t="shared" si="6"/>
        <v>14216.877019302176</v>
      </c>
      <c r="I52" s="672">
        <f t="shared" si="6"/>
        <v>2455.4142068219344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16732.371850179588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1339.5419581620904</v>
      </c>
      <c r="D54" s="948">
        <f ca="1">+landbouw!C12</f>
        <v>45689.812677442947</v>
      </c>
      <c r="E54" s="948">
        <f>+landbouw!D12</f>
        <v>13332.23507907732</v>
      </c>
      <c r="F54" s="948">
        <f>+landbouw!E12</f>
        <v>14.695077263516986</v>
      </c>
      <c r="G54" s="948">
        <f>+landbouw!F12</f>
        <v>2739.589574975651</v>
      </c>
      <c r="H54" s="948">
        <f>+landbouw!G12</f>
        <v>0</v>
      </c>
      <c r="I54" s="948">
        <f>+landbouw!H12</f>
        <v>0</v>
      </c>
      <c r="J54" s="948">
        <f>+landbouw!I12</f>
        <v>0</v>
      </c>
      <c r="K54" s="948">
        <f>+landbouw!J12</f>
        <v>231.5275143011699</v>
      </c>
      <c r="L54" s="948">
        <f>+landbouw!K12</f>
        <v>0</v>
      </c>
      <c r="M54" s="948">
        <f>+landbouw!L12</f>
        <v>0</v>
      </c>
      <c r="N54" s="948">
        <f>+landbouw!M12</f>
        <v>0</v>
      </c>
      <c r="O54" s="948">
        <f>+landbouw!N12</f>
        <v>0</v>
      </c>
      <c r="P54" s="948">
        <f>+landbouw!O12</f>
        <v>0</v>
      </c>
      <c r="Q54" s="949">
        <f>+landbouw!P12</f>
        <v>0</v>
      </c>
      <c r="R54" s="671">
        <f ca="1">SUM(C54:Q54)</f>
        <v>63347.401881222693</v>
      </c>
    </row>
    <row r="55" spans="1:18" ht="15" thickBot="1">
      <c r="A55" s="769" t="s">
        <v>847</v>
      </c>
      <c r="B55" s="779"/>
      <c r="C55" s="948">
        <f ca="1">C25*'EF ele_warmte'!B12</f>
        <v>223.15480379996657</v>
      </c>
      <c r="D55" s="948"/>
      <c r="E55" s="948">
        <f>E25*EF_CO2_aardgas</f>
        <v>664.69492779517611</v>
      </c>
      <c r="F55" s="948"/>
      <c r="G55" s="948"/>
      <c r="H55" s="948"/>
      <c r="I55" s="948"/>
      <c r="J55" s="948"/>
      <c r="K55" s="948"/>
      <c r="L55" s="948"/>
      <c r="M55" s="948"/>
      <c r="N55" s="948"/>
      <c r="O55" s="948"/>
      <c r="P55" s="948"/>
      <c r="Q55" s="949"/>
      <c r="R55" s="671">
        <f ca="1">SUM(C55:Q55)</f>
        <v>887.84973159514266</v>
      </c>
    </row>
    <row r="56" spans="1:18" ht="15.75" thickBot="1">
      <c r="A56" s="767" t="s">
        <v>848</v>
      </c>
      <c r="B56" s="780"/>
      <c r="C56" s="672">
        <f ca="1">SUM(C54:C55)</f>
        <v>1562.6967619620571</v>
      </c>
      <c r="D56" s="672">
        <f t="shared" ref="D56:Q56" ca="1" si="7">SUM(D54:D55)</f>
        <v>45689.812677442947</v>
      </c>
      <c r="E56" s="672">
        <f t="shared" si="7"/>
        <v>13996.930006872495</v>
      </c>
      <c r="F56" s="672">
        <f t="shared" si="7"/>
        <v>14.695077263516986</v>
      </c>
      <c r="G56" s="672">
        <f t="shared" si="7"/>
        <v>2739.589574975651</v>
      </c>
      <c r="H56" s="672">
        <f t="shared" si="7"/>
        <v>0</v>
      </c>
      <c r="I56" s="672">
        <f t="shared" si="7"/>
        <v>0</v>
      </c>
      <c r="J56" s="672">
        <f t="shared" si="7"/>
        <v>0</v>
      </c>
      <c r="K56" s="672">
        <f t="shared" si="7"/>
        <v>231.5275143011699</v>
      </c>
      <c r="L56" s="672">
        <f t="shared" si="7"/>
        <v>0</v>
      </c>
      <c r="M56" s="672">
        <f t="shared" si="7"/>
        <v>0</v>
      </c>
      <c r="N56" s="672">
        <f t="shared" si="7"/>
        <v>0</v>
      </c>
      <c r="O56" s="672">
        <f t="shared" si="7"/>
        <v>0</v>
      </c>
      <c r="P56" s="672">
        <f t="shared" si="7"/>
        <v>0</v>
      </c>
      <c r="Q56" s="673">
        <f t="shared" si="7"/>
        <v>0</v>
      </c>
      <c r="R56" s="674">
        <f ca="1">SUM(R54:R55)</f>
        <v>64235.251612817839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21455.332269740014</v>
      </c>
      <c r="D61" s="680">
        <f t="shared" ref="D61:Q61" ca="1" si="8">D46+D52+D56</f>
        <v>46020.742903215156</v>
      </c>
      <c r="E61" s="680">
        <f t="shared" ca="1" si="8"/>
        <v>42103.471060792101</v>
      </c>
      <c r="F61" s="680">
        <f t="shared" si="8"/>
        <v>566.53110815560478</v>
      </c>
      <c r="G61" s="680">
        <f t="shared" ca="1" si="8"/>
        <v>19880.845933647281</v>
      </c>
      <c r="H61" s="680">
        <f t="shared" si="8"/>
        <v>14216.877019302176</v>
      </c>
      <c r="I61" s="680">
        <f t="shared" si="8"/>
        <v>2455.4142068219344</v>
      </c>
      <c r="J61" s="680">
        <f t="shared" si="8"/>
        <v>0</v>
      </c>
      <c r="K61" s="680">
        <f t="shared" si="8"/>
        <v>574.28844529348498</v>
      </c>
      <c r="L61" s="680">
        <f t="shared" si="8"/>
        <v>0</v>
      </c>
      <c r="M61" s="680">
        <f t="shared" ca="1" si="8"/>
        <v>0</v>
      </c>
      <c r="N61" s="680">
        <f t="shared" si="8"/>
        <v>0</v>
      </c>
      <c r="O61" s="680">
        <f t="shared" ca="1" si="8"/>
        <v>0</v>
      </c>
      <c r="P61" s="680">
        <f t="shared" si="8"/>
        <v>0</v>
      </c>
      <c r="Q61" s="680">
        <f t="shared" si="8"/>
        <v>0</v>
      </c>
      <c r="R61" s="680">
        <f ca="1">R46+R52+R56</f>
        <v>147273.50294696775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0.20434095258639312</v>
      </c>
      <c r="D63" s="724">
        <f t="shared" ca="1" si="9"/>
        <v>0.2144918130005056</v>
      </c>
      <c r="E63" s="950">
        <f t="shared" ca="1" si="9"/>
        <v>0.20199999999999999</v>
      </c>
      <c r="F63" s="724">
        <f t="shared" si="9"/>
        <v>0.22700000000000004</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7704.4455287449073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16443.957002926894</v>
      </c>
      <c r="C76" s="690">
        <f>'lokale energieproductie'!B8*IFERROR(SUM(D76:H76)/SUM(D76:O76),0)</f>
        <v>138649.66799707312</v>
      </c>
      <c r="D76" s="960">
        <f>'lokale energieproductie'!C8</f>
        <v>158246.07177934033</v>
      </c>
      <c r="E76" s="961">
        <f>'lokale energieproductie'!D8</f>
        <v>0</v>
      </c>
      <c r="F76" s="961">
        <f>'lokale energieproductie'!E8</f>
        <v>4871.1846878044771</v>
      </c>
      <c r="G76" s="961">
        <f>'lokale energieproductie'!F8</f>
        <v>0</v>
      </c>
      <c r="H76" s="961">
        <f>'lokale energieproductie'!G8</f>
        <v>0</v>
      </c>
      <c r="I76" s="961">
        <f>'lokale energieproductie'!I8</f>
        <v>19333.694264774356</v>
      </c>
      <c r="J76" s="961">
        <f>'lokale energieproductie'!J8</f>
        <v>12.1375033749281</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33266.312811070544</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24148.402531671803</v>
      </c>
      <c r="C78" s="695">
        <f>SUM(C72:C77)</f>
        <v>138649.66799707312</v>
      </c>
      <c r="D78" s="696">
        <f t="shared" ref="D78:H78" si="10">SUM(D76:D77)</f>
        <v>158246.07177934033</v>
      </c>
      <c r="E78" s="696">
        <f t="shared" si="10"/>
        <v>0</v>
      </c>
      <c r="F78" s="696">
        <f t="shared" si="10"/>
        <v>4871.1846878044771</v>
      </c>
      <c r="G78" s="696">
        <f t="shared" si="10"/>
        <v>0</v>
      </c>
      <c r="H78" s="696">
        <f t="shared" si="10"/>
        <v>0</v>
      </c>
      <c r="I78" s="696">
        <f>SUM(I76:I77)</f>
        <v>19333.694264774356</v>
      </c>
      <c r="J78" s="696">
        <f>SUM(J76:J77)</f>
        <v>12.1375033749281</v>
      </c>
      <c r="K78" s="696">
        <f t="shared" ref="K78:L78" si="11">SUM(K76:K77)</f>
        <v>0</v>
      </c>
      <c r="L78" s="696">
        <f t="shared" si="11"/>
        <v>0</v>
      </c>
      <c r="M78" s="696">
        <f>SUM(M76:M77)</f>
        <v>0</v>
      </c>
      <c r="N78" s="696">
        <f>SUM(N76:N77)</f>
        <v>0</v>
      </c>
      <c r="O78" s="804">
        <f>SUM(O76:O77)</f>
        <v>0</v>
      </c>
      <c r="P78" s="697">
        <v>0</v>
      </c>
      <c r="Q78" s="697">
        <f>SUM(Q76:Q77)</f>
        <v>33266.312811070544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22748.632282787392</v>
      </c>
      <c r="C87" s="706">
        <f>'lokale energieproductie'!B17*IFERROR(SUM(D87:H87)/SUM(D87:O87),0)</f>
        <v>191808.47486006975</v>
      </c>
      <c r="D87" s="717">
        <f>'lokale energieproductie'!C17</f>
        <v>218918.21393494532</v>
      </c>
      <c r="E87" s="717">
        <f>'lokale energieproductie'!D17</f>
        <v>0</v>
      </c>
      <c r="F87" s="717">
        <f>'lokale energieproductie'!E17</f>
        <v>6738.815312195522</v>
      </c>
      <c r="G87" s="717">
        <f>'lokale energieproductie'!F17</f>
        <v>0</v>
      </c>
      <c r="H87" s="717">
        <f>'lokale energieproductie'!G17</f>
        <v>0</v>
      </c>
      <c r="I87" s="717">
        <f>'lokale energieproductie'!I17</f>
        <v>26746.305735225636</v>
      </c>
      <c r="J87" s="717">
        <f>'lokale energieproductie'!J17</f>
        <v>16.791068053643329</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46020.742903215156</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22748.632282787392</v>
      </c>
      <c r="C90" s="695">
        <f>SUM(C87:C89)</f>
        <v>191808.47486006975</v>
      </c>
      <c r="D90" s="695">
        <f t="shared" ref="D90:H90" si="12">SUM(D87:D89)</f>
        <v>218918.21393494532</v>
      </c>
      <c r="E90" s="695">
        <f t="shared" si="12"/>
        <v>0</v>
      </c>
      <c r="F90" s="695">
        <f t="shared" si="12"/>
        <v>6738.815312195522</v>
      </c>
      <c r="G90" s="695">
        <f t="shared" si="12"/>
        <v>0</v>
      </c>
      <c r="H90" s="695">
        <f t="shared" si="12"/>
        <v>0</v>
      </c>
      <c r="I90" s="695">
        <f>SUM(I87:I89)</f>
        <v>26746.305735225636</v>
      </c>
      <c r="J90" s="695">
        <f>SUM(J87:J89)</f>
        <v>16.791068053643329</v>
      </c>
      <c r="K90" s="695">
        <f t="shared" ref="K90:L90" si="13">SUM(K87:K89)</f>
        <v>0</v>
      </c>
      <c r="L90" s="695">
        <f t="shared" si="13"/>
        <v>0</v>
      </c>
      <c r="M90" s="695">
        <f>SUM(M87:M89)</f>
        <v>0</v>
      </c>
      <c r="N90" s="695">
        <f>SUM(N87:N89)</f>
        <v>0</v>
      </c>
      <c r="O90" s="695">
        <f>SUM(O87:O89)</f>
        <v>0</v>
      </c>
      <c r="P90" s="695">
        <v>0</v>
      </c>
      <c r="Q90" s="695">
        <f>SUM(Q87:Q89)</f>
        <v>46020.742903215156</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36976.771521543298</v>
      </c>
      <c r="C4" s="447">
        <f>huishoudens!C8</f>
        <v>0</v>
      </c>
      <c r="D4" s="447">
        <f>huishoudens!D8</f>
        <v>85140.90956375534</v>
      </c>
      <c r="E4" s="447">
        <f>huishoudens!E8</f>
        <v>1708.3904205014403</v>
      </c>
      <c r="F4" s="447">
        <f>huishoudens!F8</f>
        <v>52083.863958251008</v>
      </c>
      <c r="G4" s="447">
        <f>huishoudens!G8</f>
        <v>0</v>
      </c>
      <c r="H4" s="447">
        <f>huishoudens!H8</f>
        <v>0</v>
      </c>
      <c r="I4" s="447">
        <f>huishoudens!I8</f>
        <v>0</v>
      </c>
      <c r="J4" s="447">
        <f>huishoudens!J8</f>
        <v>945.0435631170518</v>
      </c>
      <c r="K4" s="447">
        <f>huishoudens!K8</f>
        <v>0</v>
      </c>
      <c r="L4" s="447">
        <f>huishoudens!L8</f>
        <v>0</v>
      </c>
      <c r="M4" s="447">
        <f>huishoudens!M8</f>
        <v>0</v>
      </c>
      <c r="N4" s="447">
        <f>huishoudens!N8</f>
        <v>11351.407892627762</v>
      </c>
      <c r="O4" s="447">
        <f>huishoudens!O8</f>
        <v>137.57333333333335</v>
      </c>
      <c r="P4" s="448">
        <f>huishoudens!P8</f>
        <v>495.73333333333335</v>
      </c>
      <c r="Q4" s="449">
        <f>SUM(B4:P4)</f>
        <v>188839.69358646256</v>
      </c>
    </row>
    <row r="5" spans="1:17">
      <c r="A5" s="446" t="s">
        <v>149</v>
      </c>
      <c r="B5" s="447">
        <f ca="1">tertiair!B16</f>
        <v>53403.143778193305</v>
      </c>
      <c r="C5" s="447">
        <f ca="1">tertiair!C16</f>
        <v>1542.8571428571429</v>
      </c>
      <c r="D5" s="447">
        <f ca="1">tertiair!D16</f>
        <v>46252.596923617682</v>
      </c>
      <c r="E5" s="447">
        <f>tertiair!E16</f>
        <v>432.02326318186283</v>
      </c>
      <c r="F5" s="447">
        <f ca="1">tertiair!F16</f>
        <v>10277.354432872728</v>
      </c>
      <c r="G5" s="447">
        <f>tertiair!G16</f>
        <v>0</v>
      </c>
      <c r="H5" s="447">
        <f>tertiair!H16</f>
        <v>0</v>
      </c>
      <c r="I5" s="447">
        <f>tertiair!I16</f>
        <v>0</v>
      </c>
      <c r="J5" s="447">
        <f>tertiair!J16</f>
        <v>0</v>
      </c>
      <c r="K5" s="447">
        <f>tertiair!K16</f>
        <v>0</v>
      </c>
      <c r="L5" s="447">
        <f ca="1">tertiair!L16</f>
        <v>0</v>
      </c>
      <c r="M5" s="447">
        <f>tertiair!M16</f>
        <v>0</v>
      </c>
      <c r="N5" s="447">
        <f ca="1">tertiair!N16</f>
        <v>1208.088097079383</v>
      </c>
      <c r="O5" s="447">
        <f>tertiair!O16</f>
        <v>3.1266666666666669</v>
      </c>
      <c r="P5" s="448">
        <f>tertiair!P16</f>
        <v>19.066666666666666</v>
      </c>
      <c r="Q5" s="446">
        <f t="shared" ref="Q5:Q14" ca="1" si="0">SUM(B5:P5)</f>
        <v>113138.25697113544</v>
      </c>
    </row>
    <row r="6" spans="1:17">
      <c r="A6" s="446" t="s">
        <v>187</v>
      </c>
      <c r="B6" s="447">
        <f>'openbare verlichting'!B8</f>
        <v>1623.5309999999999</v>
      </c>
      <c r="C6" s="447"/>
      <c r="D6" s="447"/>
      <c r="E6" s="447"/>
      <c r="F6" s="447"/>
      <c r="G6" s="447"/>
      <c r="H6" s="447"/>
      <c r="I6" s="447"/>
      <c r="J6" s="447"/>
      <c r="K6" s="447"/>
      <c r="L6" s="447"/>
      <c r="M6" s="447"/>
      <c r="N6" s="447"/>
      <c r="O6" s="447"/>
      <c r="P6" s="448"/>
      <c r="Q6" s="446">
        <f t="shared" si="0"/>
        <v>1623.5309999999999</v>
      </c>
    </row>
    <row r="7" spans="1:17">
      <c r="A7" s="446" t="s">
        <v>105</v>
      </c>
      <c r="B7" s="447">
        <f>landbouw!B8</f>
        <v>6555.4258273105916</v>
      </c>
      <c r="C7" s="447">
        <f>landbouw!C8</f>
        <v>213014.25</v>
      </c>
      <c r="D7" s="447">
        <f>landbouw!D8</f>
        <v>66001.163757808506</v>
      </c>
      <c r="E7" s="447">
        <f>landbouw!E8</f>
        <v>64.736023187299494</v>
      </c>
      <c r="F7" s="447">
        <f>landbouw!F8</f>
        <v>10260.635112268355</v>
      </c>
      <c r="G7" s="447">
        <f>landbouw!G8</f>
        <v>0</v>
      </c>
      <c r="H7" s="447">
        <f>landbouw!H8</f>
        <v>0</v>
      </c>
      <c r="I7" s="447">
        <f>landbouw!I8</f>
        <v>0</v>
      </c>
      <c r="J7" s="447">
        <f>landbouw!J8</f>
        <v>654.03252627449126</v>
      </c>
      <c r="K7" s="447">
        <f>landbouw!K8</f>
        <v>0</v>
      </c>
      <c r="L7" s="447">
        <f>landbouw!L8</f>
        <v>0</v>
      </c>
      <c r="M7" s="447">
        <f>landbouw!M8</f>
        <v>0</v>
      </c>
      <c r="N7" s="447">
        <f>landbouw!N8</f>
        <v>0</v>
      </c>
      <c r="O7" s="447">
        <f>landbouw!O8</f>
        <v>0</v>
      </c>
      <c r="P7" s="448">
        <f>landbouw!P8</f>
        <v>0</v>
      </c>
      <c r="Q7" s="446">
        <f t="shared" si="0"/>
        <v>296550.24324684922</v>
      </c>
    </row>
    <row r="8" spans="1:17">
      <c r="A8" s="446" t="s">
        <v>640</v>
      </c>
      <c r="B8" s="447">
        <f>industrie!B18</f>
        <v>5330.7837604821125</v>
      </c>
      <c r="C8" s="447">
        <f>industrie!C18</f>
        <v>0</v>
      </c>
      <c r="D8" s="447">
        <f>industrie!D18</f>
        <v>7743.9102153838267</v>
      </c>
      <c r="E8" s="447">
        <f>industrie!E18</f>
        <v>43.747130453520271</v>
      </c>
      <c r="F8" s="447">
        <f>industrie!F18</f>
        <v>1838.2436263730033</v>
      </c>
      <c r="G8" s="447">
        <f>industrie!G18</f>
        <v>0</v>
      </c>
      <c r="H8" s="447">
        <f>industrie!H18</f>
        <v>0</v>
      </c>
      <c r="I8" s="447">
        <f>industrie!I18</f>
        <v>0</v>
      </c>
      <c r="J8" s="447">
        <f>industrie!J18</f>
        <v>23.207654375363859</v>
      </c>
      <c r="K8" s="447">
        <f>industrie!K18</f>
        <v>0</v>
      </c>
      <c r="L8" s="447">
        <f>industrie!L18</f>
        <v>0</v>
      </c>
      <c r="M8" s="447">
        <f>industrie!M18</f>
        <v>0</v>
      </c>
      <c r="N8" s="447">
        <f>industrie!N18</f>
        <v>206.7129557836941</v>
      </c>
      <c r="O8" s="447">
        <f>industrie!O18</f>
        <v>0</v>
      </c>
      <c r="P8" s="448">
        <f>industrie!P18</f>
        <v>0</v>
      </c>
      <c r="Q8" s="446">
        <f t="shared" si="0"/>
        <v>15186.605342851522</v>
      </c>
    </row>
    <row r="9" spans="1:17" s="452" customFormat="1">
      <c r="A9" s="450" t="s">
        <v>560</v>
      </c>
      <c r="B9" s="451">
        <f>transport!B14</f>
        <v>3.0379490033913874</v>
      </c>
      <c r="C9" s="451">
        <f>transport!C14</f>
        <v>0</v>
      </c>
      <c r="D9" s="451">
        <f>transport!D14</f>
        <v>3.8756433798005769</v>
      </c>
      <c r="E9" s="451">
        <f>transport!E14</f>
        <v>246.83491666532532</v>
      </c>
      <c r="F9" s="451">
        <f>transport!F14</f>
        <v>0</v>
      </c>
      <c r="G9" s="451">
        <f>transport!G14</f>
        <v>50664.58348997467</v>
      </c>
      <c r="H9" s="451">
        <f>transport!H14</f>
        <v>9861.1012322166043</v>
      </c>
      <c r="I9" s="451">
        <f>transport!I14</f>
        <v>0</v>
      </c>
      <c r="J9" s="451">
        <f>transport!J14</f>
        <v>0</v>
      </c>
      <c r="K9" s="451">
        <f>transport!K14</f>
        <v>0</v>
      </c>
      <c r="L9" s="451">
        <f>transport!L14</f>
        <v>0</v>
      </c>
      <c r="M9" s="451">
        <f>transport!M14</f>
        <v>2706.0471396646335</v>
      </c>
      <c r="N9" s="451">
        <f>transport!N14</f>
        <v>0</v>
      </c>
      <c r="O9" s="451">
        <f>transport!O14</f>
        <v>0</v>
      </c>
      <c r="P9" s="451">
        <f>transport!P14</f>
        <v>0</v>
      </c>
      <c r="Q9" s="450">
        <f>SUM(B9:P9)</f>
        <v>63485.480370904428</v>
      </c>
    </row>
    <row r="10" spans="1:17">
      <c r="A10" s="446" t="s">
        <v>550</v>
      </c>
      <c r="B10" s="447">
        <f>transport!B54</f>
        <v>12.946208691803321</v>
      </c>
      <c r="C10" s="447">
        <f>transport!C54</f>
        <v>0</v>
      </c>
      <c r="D10" s="447">
        <f>transport!D54</f>
        <v>0</v>
      </c>
      <c r="E10" s="447">
        <f>transport!E54</f>
        <v>0</v>
      </c>
      <c r="F10" s="447">
        <f>transport!F54</f>
        <v>0</v>
      </c>
      <c r="G10" s="447">
        <f>transport!G54</f>
        <v>2582.14691939677</v>
      </c>
      <c r="H10" s="447">
        <f>transport!H54</f>
        <v>0</v>
      </c>
      <c r="I10" s="447">
        <f>transport!I54</f>
        <v>0</v>
      </c>
      <c r="J10" s="447">
        <f>transport!J54</f>
        <v>0</v>
      </c>
      <c r="K10" s="447">
        <f>transport!K54</f>
        <v>0</v>
      </c>
      <c r="L10" s="447">
        <f>transport!L54</f>
        <v>0</v>
      </c>
      <c r="M10" s="447">
        <f>transport!M54</f>
        <v>114.12814374002809</v>
      </c>
      <c r="N10" s="447">
        <f>transport!N54</f>
        <v>0</v>
      </c>
      <c r="O10" s="447">
        <f>transport!O54</f>
        <v>0</v>
      </c>
      <c r="P10" s="448">
        <f>transport!P54</f>
        <v>0</v>
      </c>
      <c r="Q10" s="446">
        <f t="shared" si="0"/>
        <v>2709.2212718286014</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1092.0708794563302</v>
      </c>
      <c r="C14" s="454"/>
      <c r="D14" s="454">
        <f>'SEAP template'!E25</f>
        <v>3290.5689494810699</v>
      </c>
      <c r="E14" s="454"/>
      <c r="F14" s="454"/>
      <c r="G14" s="454"/>
      <c r="H14" s="454"/>
      <c r="I14" s="454"/>
      <c r="J14" s="454"/>
      <c r="K14" s="454"/>
      <c r="L14" s="454"/>
      <c r="M14" s="454"/>
      <c r="N14" s="454"/>
      <c r="O14" s="454"/>
      <c r="P14" s="455"/>
      <c r="Q14" s="446">
        <f t="shared" si="0"/>
        <v>4382.6398289374001</v>
      </c>
    </row>
    <row r="15" spans="1:17" s="459" customFormat="1">
      <c r="A15" s="456" t="s">
        <v>554</v>
      </c>
      <c r="B15" s="457">
        <f ca="1">SUM(B4:B14)</f>
        <v>104997.71092468084</v>
      </c>
      <c r="C15" s="457">
        <f t="shared" ref="C15:Q15" ca="1" si="1">SUM(C4:C14)</f>
        <v>214557.10714285713</v>
      </c>
      <c r="D15" s="457">
        <f t="shared" ca="1" si="1"/>
        <v>208433.02505342624</v>
      </c>
      <c r="E15" s="457">
        <f t="shared" si="1"/>
        <v>2495.731753989448</v>
      </c>
      <c r="F15" s="457">
        <f t="shared" ca="1" si="1"/>
        <v>74460.097129765098</v>
      </c>
      <c r="G15" s="457">
        <f t="shared" si="1"/>
        <v>53246.730409371441</v>
      </c>
      <c r="H15" s="457">
        <f t="shared" si="1"/>
        <v>9861.1012322166043</v>
      </c>
      <c r="I15" s="457">
        <f t="shared" si="1"/>
        <v>0</v>
      </c>
      <c r="J15" s="457">
        <f t="shared" si="1"/>
        <v>1622.2837437669068</v>
      </c>
      <c r="K15" s="457">
        <f t="shared" si="1"/>
        <v>0</v>
      </c>
      <c r="L15" s="457">
        <f t="shared" ca="1" si="1"/>
        <v>0</v>
      </c>
      <c r="M15" s="457">
        <f t="shared" si="1"/>
        <v>2820.1752834046615</v>
      </c>
      <c r="N15" s="457">
        <f t="shared" ca="1" si="1"/>
        <v>12766.208945490838</v>
      </c>
      <c r="O15" s="457">
        <f t="shared" si="1"/>
        <v>140.70000000000002</v>
      </c>
      <c r="P15" s="457">
        <f t="shared" si="1"/>
        <v>514.80000000000007</v>
      </c>
      <c r="Q15" s="457">
        <f t="shared" ca="1" si="1"/>
        <v>685915.67161896918</v>
      </c>
    </row>
    <row r="17" spans="1:17">
      <c r="A17" s="460" t="s">
        <v>555</v>
      </c>
      <c r="B17" s="729">
        <f ca="1">huishoudens!B10</f>
        <v>0.20434095258639309</v>
      </c>
      <c r="C17" s="729">
        <f ca="1">huishoudens!C10</f>
        <v>0.2144918130005056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7555.8687162815695</v>
      </c>
      <c r="C22" s="447">
        <f t="shared" ref="C22:C32" ca="1" si="3">C4*$C$17</f>
        <v>0</v>
      </c>
      <c r="D22" s="447">
        <f t="shared" ref="D22:D32" si="4">D4*$D$17</f>
        <v>17198.463731878579</v>
      </c>
      <c r="E22" s="447">
        <f t="shared" ref="E22:E32" si="5">E4*$E$17</f>
        <v>387.80462545382699</v>
      </c>
      <c r="F22" s="447">
        <f t="shared" ref="F22:F32" si="6">F4*$F$17</f>
        <v>13906.39167685302</v>
      </c>
      <c r="G22" s="447">
        <f t="shared" ref="G22:G32" si="7">G4*$G$17</f>
        <v>0</v>
      </c>
      <c r="H22" s="447">
        <f t="shared" ref="H22:H32" si="8">H4*$H$17</f>
        <v>0</v>
      </c>
      <c r="I22" s="447">
        <f t="shared" ref="I22:I32" si="9">I4*$I$17</f>
        <v>0</v>
      </c>
      <c r="J22" s="447">
        <f t="shared" ref="J22:J32" si="10">J4*$J$17</f>
        <v>334.54542134343632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39383.074171810433</v>
      </c>
    </row>
    <row r="23" spans="1:17">
      <c r="A23" s="446" t="s">
        <v>149</v>
      </c>
      <c r="B23" s="447">
        <f t="shared" ca="1" si="2"/>
        <v>10912.449270744131</v>
      </c>
      <c r="C23" s="447">
        <f t="shared" ca="1" si="3"/>
        <v>330.93022577220864</v>
      </c>
      <c r="D23" s="447">
        <f t="shared" ca="1" si="4"/>
        <v>9343.0245785707721</v>
      </c>
      <c r="E23" s="447">
        <f t="shared" si="5"/>
        <v>98.069280742282871</v>
      </c>
      <c r="F23" s="447">
        <f t="shared" ca="1" si="6"/>
        <v>2744.0536335770184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23428.526989406415</v>
      </c>
    </row>
    <row r="24" spans="1:17">
      <c r="A24" s="446" t="s">
        <v>187</v>
      </c>
      <c r="B24" s="447">
        <f t="shared" ca="1" si="2"/>
        <v>331.75387109353937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331.75387109353937</v>
      </c>
    </row>
    <row r="25" spans="1:17">
      <c r="A25" s="446" t="s">
        <v>105</v>
      </c>
      <c r="B25" s="447">
        <f t="shared" ca="1" si="2"/>
        <v>1339.5419581620904</v>
      </c>
      <c r="C25" s="447">
        <f t="shared" ca="1" si="3"/>
        <v>45689.812677442947</v>
      </c>
      <c r="D25" s="447">
        <f t="shared" si="4"/>
        <v>13332.23507907732</v>
      </c>
      <c r="E25" s="447">
        <f t="shared" si="5"/>
        <v>14.695077263516986</v>
      </c>
      <c r="F25" s="447">
        <f t="shared" si="6"/>
        <v>2739.589574975651</v>
      </c>
      <c r="G25" s="447">
        <f t="shared" si="7"/>
        <v>0</v>
      </c>
      <c r="H25" s="447">
        <f t="shared" si="8"/>
        <v>0</v>
      </c>
      <c r="I25" s="447">
        <f t="shared" si="9"/>
        <v>0</v>
      </c>
      <c r="J25" s="447">
        <f t="shared" si="10"/>
        <v>231.5275143011699</v>
      </c>
      <c r="K25" s="447">
        <f t="shared" si="11"/>
        <v>0</v>
      </c>
      <c r="L25" s="447">
        <f t="shared" si="12"/>
        <v>0</v>
      </c>
      <c r="M25" s="447">
        <f t="shared" si="13"/>
        <v>0</v>
      </c>
      <c r="N25" s="447">
        <f t="shared" si="14"/>
        <v>0</v>
      </c>
      <c r="O25" s="447">
        <f t="shared" si="15"/>
        <v>0</v>
      </c>
      <c r="P25" s="448">
        <f t="shared" si="16"/>
        <v>0</v>
      </c>
      <c r="Q25" s="446">
        <f t="shared" ca="1" si="17"/>
        <v>63347.401881222693</v>
      </c>
    </row>
    <row r="26" spans="1:17">
      <c r="A26" s="446" t="s">
        <v>640</v>
      </c>
      <c r="B26" s="447">
        <f t="shared" ca="1" si="2"/>
        <v>1089.2974316489897</v>
      </c>
      <c r="C26" s="447">
        <f t="shared" ca="1" si="3"/>
        <v>0</v>
      </c>
      <c r="D26" s="447">
        <f t="shared" si="4"/>
        <v>1564.269863507533</v>
      </c>
      <c r="E26" s="447">
        <f t="shared" si="5"/>
        <v>9.9305986129491011</v>
      </c>
      <c r="F26" s="447">
        <f t="shared" si="6"/>
        <v>490.81104824159189</v>
      </c>
      <c r="G26" s="447">
        <f t="shared" si="7"/>
        <v>0</v>
      </c>
      <c r="H26" s="447">
        <f t="shared" si="8"/>
        <v>0</v>
      </c>
      <c r="I26" s="447">
        <f t="shared" si="9"/>
        <v>0</v>
      </c>
      <c r="J26" s="447">
        <f t="shared" si="10"/>
        <v>8.2155096488788057</v>
      </c>
      <c r="K26" s="447">
        <f t="shared" si="11"/>
        <v>0</v>
      </c>
      <c r="L26" s="447">
        <f t="shared" si="12"/>
        <v>0</v>
      </c>
      <c r="M26" s="447">
        <f t="shared" si="13"/>
        <v>0</v>
      </c>
      <c r="N26" s="447">
        <f t="shared" si="14"/>
        <v>0</v>
      </c>
      <c r="O26" s="447">
        <f t="shared" si="15"/>
        <v>0</v>
      </c>
      <c r="P26" s="448">
        <f t="shared" si="16"/>
        <v>0</v>
      </c>
      <c r="Q26" s="446">
        <f t="shared" ca="1" si="17"/>
        <v>3162.5244516599428</v>
      </c>
    </row>
    <row r="27" spans="1:17" s="452" customFormat="1">
      <c r="A27" s="450" t="s">
        <v>560</v>
      </c>
      <c r="B27" s="723">
        <f t="shared" ca="1" si="2"/>
        <v>0.62077739326187964</v>
      </c>
      <c r="C27" s="451">
        <f t="shared" ca="1" si="3"/>
        <v>0</v>
      </c>
      <c r="D27" s="451">
        <f t="shared" si="4"/>
        <v>0.7828799627197166</v>
      </c>
      <c r="E27" s="451">
        <f t="shared" si="5"/>
        <v>56.031526083028851</v>
      </c>
      <c r="F27" s="451">
        <f t="shared" si="6"/>
        <v>0</v>
      </c>
      <c r="G27" s="451">
        <f t="shared" si="7"/>
        <v>13527.443791823238</v>
      </c>
      <c r="H27" s="451">
        <f t="shared" si="8"/>
        <v>2455.4142068219344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16040.293182084184</v>
      </c>
    </row>
    <row r="28" spans="1:17">
      <c r="A28" s="446" t="s">
        <v>550</v>
      </c>
      <c r="B28" s="447">
        <f t="shared" ca="1" si="2"/>
        <v>2.6454406164653324</v>
      </c>
      <c r="C28" s="447">
        <f t="shared" ca="1" si="3"/>
        <v>0</v>
      </c>
      <c r="D28" s="447">
        <f t="shared" si="4"/>
        <v>0</v>
      </c>
      <c r="E28" s="447">
        <f t="shared" si="5"/>
        <v>0</v>
      </c>
      <c r="F28" s="447">
        <f t="shared" si="6"/>
        <v>0</v>
      </c>
      <c r="G28" s="447">
        <f t="shared" si="7"/>
        <v>689.43322747893762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692.07866809540292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223.15480379996657</v>
      </c>
      <c r="C32" s="447">
        <f t="shared" ca="1" si="3"/>
        <v>0</v>
      </c>
      <c r="D32" s="447">
        <f t="shared" si="4"/>
        <v>664.69492779517611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887.84973159514266</v>
      </c>
    </row>
    <row r="33" spans="1:17" s="459" customFormat="1">
      <c r="A33" s="456" t="s">
        <v>554</v>
      </c>
      <c r="B33" s="457">
        <f ca="1">SUM(B22:B32)</f>
        <v>21455.332269740018</v>
      </c>
      <c r="C33" s="457">
        <f t="shared" ref="C33:Q33" ca="1" si="18">SUM(C22:C32)</f>
        <v>46020.742903215156</v>
      </c>
      <c r="D33" s="457">
        <f t="shared" ca="1" si="18"/>
        <v>42103.471060792101</v>
      </c>
      <c r="E33" s="457">
        <f t="shared" si="18"/>
        <v>566.53110815560478</v>
      </c>
      <c r="F33" s="457">
        <f t="shared" ca="1" si="18"/>
        <v>19880.845933647277</v>
      </c>
      <c r="G33" s="457">
        <f t="shared" si="18"/>
        <v>14216.877019302176</v>
      </c>
      <c r="H33" s="457">
        <f t="shared" si="18"/>
        <v>2455.4142068219344</v>
      </c>
      <c r="I33" s="457">
        <f t="shared" si="18"/>
        <v>0</v>
      </c>
      <c r="J33" s="457">
        <f t="shared" si="18"/>
        <v>574.28844529348498</v>
      </c>
      <c r="K33" s="457">
        <f t="shared" si="18"/>
        <v>0</v>
      </c>
      <c r="L33" s="457">
        <f t="shared" ca="1" si="18"/>
        <v>0</v>
      </c>
      <c r="M33" s="457">
        <f t="shared" si="18"/>
        <v>0</v>
      </c>
      <c r="N33" s="457">
        <f t="shared" ca="1" si="18"/>
        <v>0</v>
      </c>
      <c r="O33" s="457">
        <f t="shared" si="18"/>
        <v>0</v>
      </c>
      <c r="P33" s="457">
        <f t="shared" si="18"/>
        <v>0</v>
      </c>
      <c r="Q33" s="457">
        <f t="shared" ca="1" si="18"/>
        <v>147273.50294696775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7704.4455287449073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16443.957002926894</v>
      </c>
      <c r="C8" s="977">
        <f>'SEAP template'!C76</f>
        <v>138649.66799707312</v>
      </c>
      <c r="D8" s="977">
        <f>'SEAP template'!D76</f>
        <v>158246.07177934033</v>
      </c>
      <c r="E8" s="977">
        <f>'SEAP template'!E76</f>
        <v>0</v>
      </c>
      <c r="F8" s="977">
        <f>'SEAP template'!F76</f>
        <v>4871.1846878044771</v>
      </c>
      <c r="G8" s="977">
        <f>'SEAP template'!G76</f>
        <v>0</v>
      </c>
      <c r="H8" s="977">
        <f>'SEAP template'!H76</f>
        <v>0</v>
      </c>
      <c r="I8" s="977">
        <f>'SEAP template'!I76</f>
        <v>19333.694264774356</v>
      </c>
      <c r="J8" s="977">
        <f>'SEAP template'!J76</f>
        <v>12.1375033749281</v>
      </c>
      <c r="K8" s="977">
        <f>'SEAP template'!K76</f>
        <v>0</v>
      </c>
      <c r="L8" s="977">
        <f>'SEAP template'!L76</f>
        <v>0</v>
      </c>
      <c r="M8" s="977">
        <f>'SEAP template'!M76</f>
        <v>0</v>
      </c>
      <c r="N8" s="977">
        <f>'SEAP template'!N76</f>
        <v>0</v>
      </c>
      <c r="O8" s="977">
        <f>'SEAP template'!O76</f>
        <v>0</v>
      </c>
      <c r="P8" s="978">
        <f>'SEAP template'!Q76</f>
        <v>33266.312811070544</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24148.402531671803</v>
      </c>
      <c r="C10" s="981">
        <f>SUM(C4:C9)</f>
        <v>138649.66799707312</v>
      </c>
      <c r="D10" s="981">
        <f t="shared" ref="D10:H10" si="0">SUM(D8:D9)</f>
        <v>158246.07177934033</v>
      </c>
      <c r="E10" s="981">
        <f t="shared" si="0"/>
        <v>0</v>
      </c>
      <c r="F10" s="981">
        <f t="shared" si="0"/>
        <v>4871.1846878044771</v>
      </c>
      <c r="G10" s="981">
        <f t="shared" si="0"/>
        <v>0</v>
      </c>
      <c r="H10" s="981">
        <f t="shared" si="0"/>
        <v>0</v>
      </c>
      <c r="I10" s="981">
        <f>SUM(I8:I9)</f>
        <v>19333.694264774356</v>
      </c>
      <c r="J10" s="981">
        <f>SUM(J8:J9)</f>
        <v>12.1375033749281</v>
      </c>
      <c r="K10" s="981">
        <f t="shared" ref="K10:L10" si="1">SUM(K8:K9)</f>
        <v>0</v>
      </c>
      <c r="L10" s="981">
        <f t="shared" si="1"/>
        <v>0</v>
      </c>
      <c r="M10" s="981">
        <f>SUM(M8:M9)</f>
        <v>0</v>
      </c>
      <c r="N10" s="981">
        <f>SUM(N8:N9)</f>
        <v>0</v>
      </c>
      <c r="O10" s="981">
        <f>SUM(O8:O9)</f>
        <v>0</v>
      </c>
      <c r="P10" s="981">
        <f>SUM(P8:P9)</f>
        <v>33266.312811070544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0.20434095258639309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22748.632282787392</v>
      </c>
      <c r="C17" s="984">
        <f>'SEAP template'!C87</f>
        <v>191808.47486006975</v>
      </c>
      <c r="D17" s="978">
        <f>'SEAP template'!D87</f>
        <v>218918.21393494532</v>
      </c>
      <c r="E17" s="978">
        <f>'SEAP template'!E87</f>
        <v>0</v>
      </c>
      <c r="F17" s="978">
        <f>'SEAP template'!F87</f>
        <v>6738.815312195522</v>
      </c>
      <c r="G17" s="978">
        <f>'SEAP template'!G87</f>
        <v>0</v>
      </c>
      <c r="H17" s="978">
        <f>'SEAP template'!H87</f>
        <v>0</v>
      </c>
      <c r="I17" s="978">
        <f>'SEAP template'!I87</f>
        <v>26746.305735225636</v>
      </c>
      <c r="J17" s="978">
        <f>'SEAP template'!J87</f>
        <v>16.791068053643329</v>
      </c>
      <c r="K17" s="978">
        <f>'SEAP template'!K87</f>
        <v>0</v>
      </c>
      <c r="L17" s="978">
        <f>'SEAP template'!L87</f>
        <v>0</v>
      </c>
      <c r="M17" s="978">
        <f>'SEAP template'!M87</f>
        <v>0</v>
      </c>
      <c r="N17" s="978">
        <f>'SEAP template'!N87</f>
        <v>0</v>
      </c>
      <c r="O17" s="978">
        <f>'SEAP template'!O87</f>
        <v>0</v>
      </c>
      <c r="P17" s="978">
        <f>'SEAP template'!Q87</f>
        <v>46020.742903215156</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22748.632282787392</v>
      </c>
      <c r="C20" s="981">
        <f>SUM(C17:C19)</f>
        <v>191808.47486006975</v>
      </c>
      <c r="D20" s="981">
        <f t="shared" ref="D20:H20" si="2">SUM(D17:D19)</f>
        <v>218918.21393494532</v>
      </c>
      <c r="E20" s="981">
        <f t="shared" si="2"/>
        <v>0</v>
      </c>
      <c r="F20" s="981">
        <f t="shared" si="2"/>
        <v>6738.815312195522</v>
      </c>
      <c r="G20" s="981">
        <f t="shared" si="2"/>
        <v>0</v>
      </c>
      <c r="H20" s="981">
        <f t="shared" si="2"/>
        <v>0</v>
      </c>
      <c r="I20" s="981">
        <f>SUM(I17:I19)</f>
        <v>26746.305735225636</v>
      </c>
      <c r="J20" s="981">
        <f>SUM(J17:J19)</f>
        <v>16.791068053643329</v>
      </c>
      <c r="K20" s="981">
        <f t="shared" ref="K20:L20" si="3">SUM(K17:K19)</f>
        <v>0</v>
      </c>
      <c r="L20" s="981">
        <f t="shared" si="3"/>
        <v>0</v>
      </c>
      <c r="M20" s="981">
        <f>SUM(M17:M19)</f>
        <v>0</v>
      </c>
      <c r="N20" s="981">
        <f>SUM(N17:N19)</f>
        <v>0</v>
      </c>
      <c r="O20" s="981">
        <f>SUM(O17:O19)</f>
        <v>0</v>
      </c>
      <c r="P20" s="981">
        <f>SUM(P17:P19)</f>
        <v>46020.742903215156</v>
      </c>
    </row>
    <row r="22" spans="1:16">
      <c r="A22" s="460" t="s">
        <v>867</v>
      </c>
      <c r="B22" s="729" t="s">
        <v>861</v>
      </c>
      <c r="C22" s="729">
        <f ca="1">'EF ele_warmte'!B22</f>
        <v>0.2144918130005056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0.20434095258639309</v>
      </c>
      <c r="C17" s="496">
        <f ca="1">'EF ele_warmte'!B22</f>
        <v>0.2144918130005056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2022-07-26T12:19:19Z</dcterms:modified>
</cp:coreProperties>
</file>