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E134565F-EACF-4F00-BFCE-DBB3D6342238}"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<sst xmlns="http://schemas.openxmlformats.org/spreadsheetml/2006/main" count="2502" uniqueCount="947">
  <si>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</si>
  <si>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</si>
  <si>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</si>
  <si>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</si>
  <si>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</si>
  <si>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</si>
  <si>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</si>
  <si>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</si>
  <si>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</si>
  <si>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</si>
  <si>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</si>
  <si>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</si>
  <si>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</si>
  <si>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</si>
  <si>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</si>
  <si>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</si>
  <si>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</si>
  <si>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</si>
  <si>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</si>
  <si>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</si>
  <si>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</si>
  <si>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</si>
  <si>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</si>
  <si>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</si>
  <si>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</si>
  <si>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</si>
  <si>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</si>
  <si>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</si>
  <si>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</si>
  <si>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</si>
  <si>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</si>
  <si>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</si>
  <si>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</si>
  <si>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</si>
  <si>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</si>
  <si>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</si>
  <si>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</si>
  <si>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</si>
  <si>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</si>
  <si>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</si>
  <si>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</si>
  <si>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</si>
  <si>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</si>
  <si>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</si>
  <si>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</si>
  <si>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</si>
  <si>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</si>
  <si>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</si>
  <si>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</si>
  <si>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</si>
  <si>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</si>
  <si>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</si>
  <si>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</si>
  <si>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</si>
  <si>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</si>
  <si>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</si>
  <si>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</si>
  <si>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</si>
  <si>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</si>
  <si>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</si>
  <si>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</si>
  <si>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</si>
  <si>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</si>
  <si>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</si>
  <si>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</si>
  <si>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</si>
  <si>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</si>
  <si>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</si>
  <si>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</si>
  <si>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</si>
  <si>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</si>
  <si>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</si>
  <si>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</si>
  <si>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</si>
  <si>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</si>
  <si>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</si>
  <si>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</si>
  <si>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</si>
  <si>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</si>
  <si>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</si>
  <si>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</si>
  <si>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</si>
  <si>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</si>
  <si>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</si>
  <si>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</si>
  <si>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</si>
  <si>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</si>
  <si>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</si>
  <si>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</si>
  <si>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</si>
  <si>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</si>
  <si>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</si>
  <si>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</si>
  <si>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</si>
  <si>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</si>
  <si>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</si>
  <si>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</si>
  <si>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</si>
  <si>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</si>
  <si>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</si>
  <si>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</si>
  <si>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</si>
  <si>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</si>
  <si>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</si>
  <si>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</si>
  <si>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</si>
  <si>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</si>
  <si>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</si>
  <si>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</si>
  <si>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</si>
  <si>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</si>
  <si>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</si>
  <si>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</si>
  <si>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</si>
  <si>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</si>
  <si>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</si>
  <si>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</si>
  <si>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</si>
  <si>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</si>
  <si>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</si>
  <si>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</si>
  <si>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</si>
  <si>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</si>
  <si>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</si>
  <si>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</si>
  <si>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</si>
  <si>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</si>
  <si>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</si>
  <si>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</si>
  <si>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</si>
  <si>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</si>
  <si>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</si>
  <si>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</si>
  <si>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</si>
  <si>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</si>
  <si>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</si>
  <si>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</si>
  <si>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</si>
  <si>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</si>
  <si>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</si>
  <si>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</si>
  <si>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</si>
  <si>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</si>
  <si>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</si>
  <si>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</si>
  <si>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</si>
  <si>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</si>
  <si>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</si>
  <si>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</si>
  <si>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</si>
  <si>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</si>
  <si>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</si>
  <si>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</si>
  <si>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</si>
  <si>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</si>
  <si>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</si>
  <si>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</si>
  <si>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</si>
  <si>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</si>
  <si>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</si>
  <si>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</si>
  <si>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</si>
  <si>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</si>
  <si>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</si>
  <si>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</si>
  <si>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</si>
  <si>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</si>
  <si>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</si>
  <si>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</si>
  <si>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</si>
  <si>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</si>
  <si>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</si>
  <si>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</si>
  <si>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</si>
  <si>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</si>
  <si>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</si>
  <si>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</si>
  <si>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</si>
  <si>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</si>
  <si>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</si>
  <si>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</si>
  <si>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</si>
  <si>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</si>
  <si>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</si>
  <si>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</si>
  <si>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</si>
  <si>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</si>
  <si>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</si>
  <si>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</si>
  <si>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</si>
  <si>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</si>
  <si>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</si>
  <si>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</si>
  <si>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</si>
  <si>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</si>
  <si>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</si>
  <si>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</si>
  <si>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</si>
  <si>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</si>
  <si>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</si>
  <si>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</si>
  <si>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</si>
  <si>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</si>
  <si>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</si>
  <si>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</si>
  <si>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</si>
  <si>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</si>
  <si>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</si>
  <si>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</si>
  <si>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</si>
  <si>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</si>
  <si>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</si>
  <si>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</si>
  <si>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</si>
  <si>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</si>
  <si>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</si>
  <si>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</si>
  <si>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</si>
  <si>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</si>
  <si>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</si>
  <si>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</si>
  <si>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</si>
  <si>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</si>
  <si>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</si>
  <si>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</si>
  <si>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</si>
  <si>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</si>
  <si>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</si>
  <si>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</si>
  <si>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</si>
  <si>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</si>
  <si>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</si>
  <si>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</si>
  <si>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</si>
  <si>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</si>
  <si>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</si>
  <si>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</si>
  <si>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</si>
  <si>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</si>
  <si>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</si>
  <si>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</si>
  <si>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</si>
  <si>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</si>
  <si>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</si>
  <si>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</si>
  <si>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</si>
  <si>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</si>
  <si>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</si>
  <si>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</si>
  <si>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</si>
  <si>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</si>
  <si>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</si>
  <si>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</si>
  <si>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</si>
  <si>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</si>
  <si>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</si>
  <si>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</si>
  <si>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</si>
  <si>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</si>
  <si>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</si>
  <si>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</si>
  <si>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</si>
  <si>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</si>
  <si>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</si>
  <si>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</si>
  <si>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</si>
  <si>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</si>
  <si>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</si>
  <si>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</si>
  <si>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</si>
  <si>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</si>
  <si>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</si>
  <si>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</si>
  <si>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</si>
  <si>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</si>
  <si>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</si>
  <si>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</si>
  <si>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</si>
  <si>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</si>
  <si>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</si>
  <si>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</si>
  <si>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</si>
  <si>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</si>
  <si>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</si>
  <si>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</si>
  <si>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</si>
  <si>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</si>
  <si>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</si>
  <si>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</si>
  <si>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</si>
  <si>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</si>
  <si>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</si>
  <si>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</si>
  <si>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</si>
  <si>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</si>
  <si>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</si>
  <si>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</si>
  <si>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</si>
  <si>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</si>
  <si>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</si>
  <si>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</si>
  <si>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</si>
  <si>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</si>
  <si>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</si>
  <si>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</si>
  <si>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</si>
  <si>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</si>
  <si>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</si>
  <si>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</si>
  <si>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</si>
  <si>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</si>
  <si>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</si>
  <si>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</si>
  <si>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</si>
  <si>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</si>
  <si>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</si>
  <si>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</si>
  <si>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</si>
  <si>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</si>
  <si>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</si>
  <si>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</si>
  <si>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</si>
  <si>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</si>
  <si>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</si>
  <si>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</si>
  <si>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</si>
  <si>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</si>
  <si>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</si>
  <si>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</si>
  <si>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</si>
  <si>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</si>
  <si>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</si>
  <si>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</si>
  <si>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</si>
  <si>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</si>
  <si>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</si>
  <si>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</si>
  <si>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</si>
  <si>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</si>
  <si>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</si>
  <si>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</si>
  <si>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</si>
  <si>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</si>
  <si>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</si>
  <si>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</si>
  <si>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</si>
  <si>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</si>
  <si>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</si>
  <si>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</si>
  <si>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</si>
  <si>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</si>
  <si>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</si>
  <si>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</si>
  <si>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</si>
  <si>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</si>
  <si>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</si>
  <si>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</si>
  <si>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</si>
  <si>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</si>
  <si>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</si>
  <si>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</si>
  <si>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</si>
  <si>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</si>
  <si>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</si>
  <si>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</si>
  <si>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</si>
  <si>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</si>
  <si>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</si>
  <si>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</si>
  <si>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</si>
  <si>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</si>
  <si>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</si>
  <si>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</si>
  <si>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</si>
  <si>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</si>
  <si>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</si>
  <si>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</si>
  <si>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</si>
  <si>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</si>
  <si>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</si>
  <si>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</si>
  <si>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</si>
  <si>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</si>
  <si>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</si>
  <si>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</si>
  <si>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</si>
  <si>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</si>
  <si>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</si>
  <si>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</si>
  <si>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</si>
  <si>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</si>
  <si>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</si>
  <si>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</si>
  <si>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</si>
  <si>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</si>
  <si>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</si>
  <si>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</si>
  <si>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</si>
  <si>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</si>
  <si>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</si>
  <si>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</si>
  <si>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</si>
  <si>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</si>
  <si>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</si>
  <si>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</si>
  <si>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</si>
  <si>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</si>
  <si>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</si>
  <si>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</si>
  <si>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</si>
  <si>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</si>
  <si>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</si>
  <si>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</si>
  <si>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</si>
  <si>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</si>
  <si>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</si>
  <si>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</si>
  <si>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</si>
  <si>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</si>
  <si>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</si>
  <si>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</si>
  <si>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</si>
  <si>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</si>
  <si>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</si>
  <si>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</si>
  <si>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</si>
  <si>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</si>
  <si>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</si>
  <si>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</si>
  <si>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</si>
  <si>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</si>
  <si>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</si>
  <si>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</si>
  <si>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</si>
  <si>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</si>
  <si>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</si>
  <si>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</si>
  <si>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</si>
  <si>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</si>
  <si>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</si>
  <si>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</si>
  <si>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</si>
  <si>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</si>
  <si>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</si>
  <si>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</si>
  <si>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</si>
  <si>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</si>
  <si>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</si>
  <si>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</si>
  <si>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</si>
  <si>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</si>
  <si>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</si>
  <si>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</si>
  <si>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</si>
  <si>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</si>
  <si>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</si>
  <si>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</si>
  <si>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</si>
  <si>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</si>
  <si>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</si>
  <si>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</si>
  <si>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</si>
  <si>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</si>
  <si>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</si>
  <si>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</si>
  <si>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</si>
  <si>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</si>
  <si>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</si>
  <si>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</si>
  <si>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</si>
  <si>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</si>
  <si>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</si>
  <si>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</si>
  <si>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</si>
  <si>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</si>
  <si>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</si>
  <si>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</si>
  <si>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</si>
  <si>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</si>
  <si>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</si>
  <si>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</si>
  <si>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</si>
  <si>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</si>
  <si>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</si>
  <si>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</si>
  <si>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</si>
  <si>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</si>
  <si>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</si>
  <si>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</si>
  <si>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</si>
  <si>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</si>
  <si>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</si>
  <si>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</si>
  <si>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</si>
  <si>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</si>
  <si>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</si>
  <si>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</si>
  <si>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</si>
  <si>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</si>
  <si>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</si>
  <si>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</si>
  <si>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</si>
  <si>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</si>
  <si>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</si>
  <si>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</si>
  <si>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</si>
  <si>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</si>
  <si>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</si>
  <si>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</si>
  <si>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</si>
  <si>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</si>
  <si>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</si>
  <si>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</si>
  <si>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</si>
  <si>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</si>
  <si>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</si>
  <si>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</si>
  <si>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</si>
  <si>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</si>
  <si>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</si>
  <si>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</si>
  <si>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</si>
  <si>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</si>
  <si>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</si>
  <si>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</si>
  <si>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</si>
  <si>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</si>
  <si>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</si>
  <si>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</si>
  <si>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</si>
  <si>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</si>
  <si>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</si>
  <si>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</si>
  <si>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</si>
  <si>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</si>
  <si>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</si>
  <si>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</si>
  <si>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</si>
  <si>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</si>
  <si>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</si>
  <si>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</si>
  <si>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</si>
  <si>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</si>
  <si>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</si>
  <si>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</si>
  <si>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</si>
  <si>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</si>
  <si>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</si>
  <si>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</si>
  <si>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</si>
  <si>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</si>
  <si>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</si>
  <si>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</si>
  <si>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</si>
  <si>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</si>
  <si>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</si>
  <si>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</si>
  <si>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</si>
  <si>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</si>
  <si>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</si>
  <si>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</si>
  <si>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</si>
  <si>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</si>
  <si>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</si>
  <si>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</si>
  <si>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</si>
  <si>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</si>
  <si>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</si>
  <si>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</si>
  <si>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</si>
  <si>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</si>
  <si>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</si>
  <si>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</si>
  <si>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</si>
  <si>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</si>
  <si>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</si>
  <si>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</si>
  <si>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</si>
  <si>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</si>
  <si>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</si>
  <si>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</si>
  <si>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</si>
  <si>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</si>
  <si>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</si>
  <si>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</si>
  <si>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</si>
  <si>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</si>
  <si>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</si>
  <si>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</si>
  <si>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</si>
  <si>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</si>
  <si>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</si>
  <si>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</si>
  <si>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</si>
  <si>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</si>
  <si>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</si>
  <si>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</si>
  <si>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</si>
  <si>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</si>
  <si>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</si>
  <si>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</si>
  <si>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</si>
  <si>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</si>
  <si>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</si>
  <si>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</si>
  <si>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</si>
  <si>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</si>
  <si>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</si>
  <si>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</si>
  <si>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</si>
  <si>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</si>
  <si>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</si>
  <si>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</si>
  <si>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</si>
  <si>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</si>
  <si>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</si>
  <si>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</si>
  <si>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</si>
  <si>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</si>
  <si>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</si>
  <si>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</si>
  <si>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</si>
  <si>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</si>
  <si>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</si>
  <si>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</si>
  <si>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</si>
  <si>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</si>
  <si>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</si>
  <si>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</si>
  <si>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</si>
  <si>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</si>
  <si>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</si>
  <si>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</si>
  <si>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</si>
  <si>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</si>
  <si>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</si>
  <si>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</si>
  <si>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</si>
  <si>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</si>
  <si>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</si>
  <si>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</si>
  <si>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</si>
  <si>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</si>
  <si>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</si>
  <si>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</si>
  <si>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</si>
  <si>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</si>
  <si>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</si>
  <si>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</si>
  <si>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</si>
  <si>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</si>
  <si>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</si>
  <si>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</si>
  <si>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</si>
  <si>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</si>
  <si>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</si>
  <si>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</si>
  <si>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</si>
  <si>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</si>
  <si>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</si>
  <si>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</si>
  <si>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</si>
  <si>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</si>
  <si>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</si>
  <si>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</si>
  <si>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</si>
  <si>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</si>
  <si>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</si>
  <si>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</si>
  <si>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</si>
  <si>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</si>
  <si>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</si>
  <si>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</si>
  <si>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</si>
  <si>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</si>
  <si>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</si>
  <si>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</si>
  <si>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</si>
  <si>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</si>
  <si>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</si>
  <si>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</si>
  <si>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</si>
  <si>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</si>
  <si>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</si>
  <si>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</si>
  <si>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</si>
  <si>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</si>
  <si>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</si>
  <si>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</si>
  <si>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</si>
  <si>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</si>
  <si>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</si>
  <si>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</si>
  <si>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</si>
  <si>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</si>
  <si>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</si>
  <si>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</si>
  <si>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</si>
  <si>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</si>
  <si>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</si>
  <si>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</si>
  <si>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</si>
  <si>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</si>
  <si>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</si>
  <si>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</si>
  <si>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</si>
  <si>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</si>
  <si>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</si>
  <si>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</si>
  <si>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</si>
  <si>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</si>
  <si>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</si>
  <si>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</si>
  <si>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</si>
  <si>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</si>
  <si>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</si>
  <si>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</si>
  <si>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</si>
  <si>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</si>
  <si>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</si>
  <si>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</si>
  <si>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</si>
  <si>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</si>
  <si>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</si>
  <si>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</si>
  <si>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</si>
  <si>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</si>
  <si>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</si>
  <si>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</si>
  <si>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</si>
  <si>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</si>
  <si>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</si>
  <si>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</si>
  <si>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</si>
  <si>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</si>
  <si>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</si>
  <si>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</si>
  <si>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</si>
  <si>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</si>
  <si>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</si>
  <si>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</si>
  <si>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</si>
  <si>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</si>
  <si>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</si>
  <si>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</si>
  <si>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</si>
  <si>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</si>
  <si>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</si>
  <si>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</si>
  <si>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</si>
  <si>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</si>
  <si>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</si>
  <si>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</si>
  <si>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</si>
  <si>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</si>
  <si>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</si>
  <si>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</si>
  <si>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</si>
  <si>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</si>
  <si>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</si>
  <si>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</si>
  <si>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</si>
  <si>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</si>
  <si>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</si>
  <si>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</si>
  <si>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</si>
  <si>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</si>
  <si>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</si>
  <si>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</si>
  <si>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</si>
  <si>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</si>
  <si>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</si>
  <si>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</si>
  <si>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</si>
  <si>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</si>
  <si>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</si>
  <si>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</si>
  <si>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</si>
  <si>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</si>
  <si>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</si>
  <si>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</si>
  <si>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</si>
  <si>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</si>
  <si>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</si>
  <si>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</si>
  <si>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</si>
  <si>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</si>
  <si>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</si>
  <si>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</si>
  <si>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</si>
  <si>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</si>
  <si>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</si>
  <si>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</si>
  <si>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</si>
  <si>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</si>
  <si>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</si>
  <si>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</si>
  <si>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</si>
  <si>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</si>
  <si>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</si>
  <si>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</si>
  <si>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</si>
  <si>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</si>
  <si>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</si>
  <si>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</si>
  <si>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</si>
  <si>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</si>
  <si>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</si>
  <si>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</si>
  <si>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</si>
  <si>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</si>
  <si>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</si>
  <si>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</si>
  <si>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</si>
  <si>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</si>
  <si>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</si>
  <si>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</si>
  <si>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</si>
  <si>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</si>
  <si>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</si>
  <si>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</si>
  <si>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</si>
  <si>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</si>
  <si>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</si>
  <si>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</si>
  <si>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</si>
  <si>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</si>
  <si>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</si>
  <si>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</si>
  <si>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</si>
  <si>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</si>
  <si>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</si>
  <si>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</si>
  <si>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</si>
  <si>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</si>
  <si>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</si>
  <si>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</si>
  <si>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</si>
  <si>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</si>
  <si>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</si>
  <si>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</si>
  <si>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</si>
  <si>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</si>
  <si>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</si>
  <si>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</si>
  <si>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</si>
  <si>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</si>
  <si>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</si>
  <si>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</si>
  <si>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</si>
  <si>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</si>
  <si>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</si>
  <si>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</si>
  <si>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</si>
  <si>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</si>
  <si>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</si>
  <si>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</si>
  <si>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</si>
  <si>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</si>
  <si>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</si>
  <si>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</si>
  <si>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</si>
  <si>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</si>
  <si>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</si>
  <si>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</si>
  <si>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</si>
  <si>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</si>
  <si>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</si>
  <si>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</si>
  <si>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</si>
  <si>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</si>
  <si>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</si>
  <si>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</si>
  <si>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</si>
  <si>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</si>
  <si>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</si>
  <si>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</si>
  <si>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</si>
  <si>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</si>
  <si>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</si>
  <si>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</si>
  <si>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</si>
  <si>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</si>
  <si>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</si>
  <si>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</si>
  <si>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</si>
  <si>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</si>
  <si>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</si>
  <si>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</si>
  <si>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</si>
  <si>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</si>
  <si>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</si>
  <si>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</si>
  <si>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</si>
  <si>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</si>
  <si>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</si>
  <si>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</si>
  <si>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</si>
  <si>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</si>
  <si>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</si>
  <si>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</si>
  <si>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</si>
  <si>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</si>
  <si>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</si>
  <si>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</si>
  <si>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</si>
  <si>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</si>
  <si>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</si>
  <si>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</si>
  <si>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</si>
  <si>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</si>
  <si>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</si>
  <si>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</si>
  <si>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</si>
  <si>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</si>
  <si>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</si>
  <si>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</si>
  <si>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</si>
  <si>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</si>
  <si>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</si>
  <si>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</si>
  <si>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</si>
  <si>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</si>
  <si>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</si>
  <si>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</si>
  <si>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</si>
  <si>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</si>
  <si>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</si>
  <si>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</si>
  <si>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</si>
  <si>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</si>
  <si>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</si>
  <si>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</si>
  <si>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</si>
  <si>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</si>
  <si>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</si>
  <si>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</si>
  <si>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12025</t>
  </si>
  <si>
    <t>MECHELEN</t>
  </si>
  <si>
    <t>Paarden&amp;pony's 200 - 600 kg</t>
  </si>
  <si>
    <t>Paarden&amp;pony's &lt; 200 kg</t>
  </si>
  <si>
    <t>vloeibaar gas (MWh)</t>
  </si>
  <si>
    <t>stirlingmotor</t>
  </si>
  <si>
    <t>IVERLEK</t>
  </si>
  <si>
    <t>biogas - stortgas</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</si>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</sst>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D84AB5A9-43D7-40B6-B8D9-D2E1D7A010E6}"/>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12025</v>
      </c>
      <c r="B6" s="384"/>
      <c r="C6" s="385"/>
    </row>
    <row r="7" spans="1:7" s="382" customFormat="1" ht="15.75" customHeight="1">
      <c r="A7" s="386" t="str">
        <f>txtMunicipality</f>
        <v>MECHELEN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0.21258491613366251</v>
      </c>
      <c r="C17" s="496">
        <f ca="1">'EF ele_warmte'!B22</f>
        <v>0.22444444444444447</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0.21258491613366251</v>
      </c>
      <c r="C29" s="497">
        <f ca="1">'EF ele_warmte'!B22</f>
        <v>0.22444444444444447</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34936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1929</v>
      </c>
      <c r="C14" s="327"/>
      <c r="D14" s="327"/>
      <c r="E14" s="327"/>
      <c r="F14" s="327"/>
    </row>
    <row r="15" spans="1:6">
      <c r="A15" s="1258" t="s">
        <v>177</v>
      </c>
      <c r="B15" s="1259">
        <v>5</v>
      </c>
      <c r="C15" s="327"/>
      <c r="D15" s="327"/>
      <c r="E15" s="327"/>
      <c r="F15" s="327"/>
    </row>
    <row r="16" spans="1:6">
      <c r="A16" s="1258" t="s">
        <v>6</v>
      </c>
      <c r="B16" s="1259">
        <v>232</v>
      </c>
      <c r="C16" s="327"/>
      <c r="D16" s="327"/>
      <c r="E16" s="327"/>
      <c r="F16" s="327"/>
    </row>
    <row r="17" spans="1:6">
      <c r="A17" s="1258" t="s">
        <v>7</v>
      </c>
      <c r="B17" s="1259">
        <v>226</v>
      </c>
      <c r="C17" s="327"/>
      <c r="D17" s="327"/>
      <c r="E17" s="327"/>
      <c r="F17" s="327"/>
    </row>
    <row r="18" spans="1:6">
      <c r="A18" s="1258" t="s">
        <v>8</v>
      </c>
      <c r="B18" s="1259">
        <v>378</v>
      </c>
      <c r="C18" s="327"/>
      <c r="D18" s="327"/>
      <c r="E18" s="327"/>
      <c r="F18" s="327"/>
    </row>
    <row r="19" spans="1:6">
      <c r="A19" s="1258" t="s">
        <v>9</v>
      </c>
      <c r="B19" s="1259">
        <v>347</v>
      </c>
      <c r="C19" s="327"/>
      <c r="D19" s="327"/>
      <c r="E19" s="327"/>
      <c r="F19" s="327"/>
    </row>
    <row r="20" spans="1:6">
      <c r="A20" s="1258" t="s">
        <v>10</v>
      </c>
      <c r="B20" s="1259">
        <v>489</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240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283</v>
      </c>
      <c r="C29" s="327"/>
      <c r="D29" s="327"/>
      <c r="E29" s="327"/>
      <c r="F29" s="327"/>
    </row>
    <row r="30" spans="1:6">
      <c r="A30" s="1253" t="s">
        <v>940</v>
      </c>
      <c r="B30" s="1261">
        <v>136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14</v>
      </c>
      <c r="D36" s="1259">
        <v>4467325.7614922803</v>
      </c>
      <c r="E36" s="1259">
        <v>17</v>
      </c>
      <c r="F36" s="1259">
        <v>1615441.61368482</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89108.790812412204</v>
      </c>
    </row>
    <row r="39" spans="1:6">
      <c r="A39" s="1258" t="s">
        <v>29</v>
      </c>
      <c r="B39" s="1258" t="s">
        <v>30</v>
      </c>
      <c r="C39" s="1259">
        <v>28504</v>
      </c>
      <c r="D39" s="1259">
        <v>456522446.24979699</v>
      </c>
      <c r="E39" s="1259">
        <v>35820</v>
      </c>
      <c r="F39" s="1259">
        <v>113794158.707831</v>
      </c>
    </row>
    <row r="40" spans="1:6">
      <c r="A40" s="1258" t="s">
        <v>29</v>
      </c>
      <c r="B40" s="1258" t="s">
        <v>28</v>
      </c>
      <c r="C40" s="1259">
        <v>0</v>
      </c>
      <c r="D40" s="1259">
        <v>0</v>
      </c>
      <c r="E40" s="1259">
        <v>0</v>
      </c>
      <c r="F40" s="1259">
        <v>0</v>
      </c>
    </row>
    <row r="41" spans="1:6">
      <c r="A41" s="1258" t="s">
        <v>31</v>
      </c>
      <c r="B41" s="1258" t="s">
        <v>32</v>
      </c>
      <c r="C41" s="1259">
        <v>232</v>
      </c>
      <c r="D41" s="1259">
        <v>6173383.5574133303</v>
      </c>
      <c r="E41" s="1259">
        <v>452</v>
      </c>
      <c r="F41" s="1259">
        <v>5765398.64807186</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15</v>
      </c>
      <c r="D44" s="1259">
        <v>4848479.4590476695</v>
      </c>
      <c r="E44" s="1259">
        <v>55</v>
      </c>
      <c r="F44" s="1259">
        <v>32913355.845885798</v>
      </c>
    </row>
    <row r="45" spans="1:6">
      <c r="A45" s="1258" t="s">
        <v>31</v>
      </c>
      <c r="B45" s="1258" t="s">
        <v>36</v>
      </c>
      <c r="C45" s="1259">
        <v>0</v>
      </c>
      <c r="D45" s="1259">
        <v>0</v>
      </c>
      <c r="E45" s="1259">
        <v>8</v>
      </c>
      <c r="F45" s="1259">
        <v>126163.04633456501</v>
      </c>
    </row>
    <row r="46" spans="1:6">
      <c r="A46" s="1258" t="s">
        <v>31</v>
      </c>
      <c r="B46" s="1258" t="s">
        <v>37</v>
      </c>
      <c r="C46" s="1259">
        <v>0</v>
      </c>
      <c r="D46" s="1259">
        <v>0</v>
      </c>
      <c r="E46" s="1259">
        <v>0</v>
      </c>
      <c r="F46" s="1259">
        <v>0</v>
      </c>
    </row>
    <row r="47" spans="1:6">
      <c r="A47" s="1258" t="s">
        <v>31</v>
      </c>
      <c r="B47" s="1258" t="s">
        <v>38</v>
      </c>
      <c r="C47" s="1259">
        <v>22</v>
      </c>
      <c r="D47" s="1259">
        <v>6719984.8449807698</v>
      </c>
      <c r="E47" s="1259">
        <v>34</v>
      </c>
      <c r="F47" s="1259">
        <v>5473018.2132182699</v>
      </c>
    </row>
    <row r="48" spans="1:6">
      <c r="A48" s="1258" t="s">
        <v>31</v>
      </c>
      <c r="B48" s="1258" t="s">
        <v>28</v>
      </c>
      <c r="C48" s="1259">
        <v>94</v>
      </c>
      <c r="D48" s="1259">
        <v>308332562.13200402</v>
      </c>
      <c r="E48" s="1259">
        <v>108</v>
      </c>
      <c r="F48" s="1259">
        <v>144799872.55792299</v>
      </c>
    </row>
    <row r="49" spans="1:6">
      <c r="A49" s="1258" t="s">
        <v>31</v>
      </c>
      <c r="B49" s="1258" t="s">
        <v>39</v>
      </c>
      <c r="C49" s="1259">
        <v>4</v>
      </c>
      <c r="D49" s="1259">
        <v>227400.978842065</v>
      </c>
      <c r="E49" s="1259">
        <v>8</v>
      </c>
      <c r="F49" s="1259">
        <v>93721.602831049895</v>
      </c>
    </row>
    <row r="50" spans="1:6">
      <c r="A50" s="1258" t="s">
        <v>31</v>
      </c>
      <c r="B50" s="1258" t="s">
        <v>40</v>
      </c>
      <c r="C50" s="1259">
        <v>37</v>
      </c>
      <c r="D50" s="1259">
        <v>3064161.5219338899</v>
      </c>
      <c r="E50" s="1259">
        <v>68</v>
      </c>
      <c r="F50" s="1259">
        <v>2789716.0872220099</v>
      </c>
    </row>
    <row r="51" spans="1:6">
      <c r="A51" s="1258" t="s">
        <v>41</v>
      </c>
      <c r="B51" s="1258" t="s">
        <v>42</v>
      </c>
      <c r="C51" s="1259">
        <v>4</v>
      </c>
      <c r="D51" s="1259">
        <v>70098.924175081003</v>
      </c>
      <c r="E51" s="1259">
        <v>79</v>
      </c>
      <c r="F51" s="1259">
        <v>791168.771532104</v>
      </c>
    </row>
    <row r="52" spans="1:6">
      <c r="A52" s="1258" t="s">
        <v>41</v>
      </c>
      <c r="B52" s="1258" t="s">
        <v>28</v>
      </c>
      <c r="C52" s="1259">
        <v>16</v>
      </c>
      <c r="D52" s="1259">
        <v>1424388.93634656</v>
      </c>
      <c r="E52" s="1259">
        <v>18</v>
      </c>
      <c r="F52" s="1259">
        <v>630957.35908915696</v>
      </c>
    </row>
    <row r="53" spans="1:6">
      <c r="A53" s="1258" t="s">
        <v>43</v>
      </c>
      <c r="B53" s="1258" t="s">
        <v>44</v>
      </c>
      <c r="C53" s="1259">
        <v>711</v>
      </c>
      <c r="D53" s="1259">
        <v>31963997.644987699</v>
      </c>
      <c r="E53" s="1259">
        <v>1168</v>
      </c>
      <c r="F53" s="1259">
        <v>6465035.8821835099</v>
      </c>
    </row>
    <row r="54" spans="1:6">
      <c r="A54" s="1258" t="s">
        <v>45</v>
      </c>
      <c r="B54" s="1258" t="s">
        <v>46</v>
      </c>
      <c r="C54" s="1259">
        <v>0</v>
      </c>
      <c r="D54" s="1259">
        <v>0</v>
      </c>
      <c r="E54" s="1259">
        <v>1</v>
      </c>
      <c r="F54" s="1259">
        <v>4424677</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323</v>
      </c>
      <c r="D57" s="1259">
        <v>33474424.961004499</v>
      </c>
      <c r="E57" s="1259">
        <v>584</v>
      </c>
      <c r="F57" s="1259">
        <v>14920239.6382936</v>
      </c>
    </row>
    <row r="58" spans="1:6">
      <c r="A58" s="1258" t="s">
        <v>48</v>
      </c>
      <c r="B58" s="1258" t="s">
        <v>50</v>
      </c>
      <c r="C58" s="1259">
        <v>190</v>
      </c>
      <c r="D58" s="1259">
        <v>24916536.6349396</v>
      </c>
      <c r="E58" s="1259">
        <v>271</v>
      </c>
      <c r="F58" s="1259">
        <v>11341210.176642699</v>
      </c>
    </row>
    <row r="59" spans="1:6">
      <c r="A59" s="1258" t="s">
        <v>48</v>
      </c>
      <c r="B59" s="1258" t="s">
        <v>51</v>
      </c>
      <c r="C59" s="1259">
        <v>693</v>
      </c>
      <c r="D59" s="1259">
        <v>40889935.696422599</v>
      </c>
      <c r="E59" s="1259">
        <v>1082</v>
      </c>
      <c r="F59" s="1259">
        <v>44244256.326503202</v>
      </c>
    </row>
    <row r="60" spans="1:6">
      <c r="A60" s="1258" t="s">
        <v>48</v>
      </c>
      <c r="B60" s="1258" t="s">
        <v>52</v>
      </c>
      <c r="C60" s="1259">
        <v>326</v>
      </c>
      <c r="D60" s="1259">
        <v>25114047.854984902</v>
      </c>
      <c r="E60" s="1259">
        <v>399</v>
      </c>
      <c r="F60" s="1259">
        <v>11918983.072834801</v>
      </c>
    </row>
    <row r="61" spans="1:6">
      <c r="A61" s="1258" t="s">
        <v>48</v>
      </c>
      <c r="B61" s="1258" t="s">
        <v>53</v>
      </c>
      <c r="C61" s="1259">
        <v>1102</v>
      </c>
      <c r="D61" s="1259">
        <v>90530525.310467601</v>
      </c>
      <c r="E61" s="1259">
        <v>2181</v>
      </c>
      <c r="F61" s="1259">
        <v>103549181.635928</v>
      </c>
    </row>
    <row r="62" spans="1:6">
      <c r="A62" s="1258" t="s">
        <v>48</v>
      </c>
      <c r="B62" s="1258" t="s">
        <v>54</v>
      </c>
      <c r="C62" s="1259">
        <v>81</v>
      </c>
      <c r="D62" s="1259">
        <v>15869892.0049564</v>
      </c>
      <c r="E62" s="1259">
        <v>103</v>
      </c>
      <c r="F62" s="1259">
        <v>5869225.5416395701</v>
      </c>
    </row>
    <row r="63" spans="1:6">
      <c r="A63" s="1258" t="s">
        <v>48</v>
      </c>
      <c r="B63" s="1258" t="s">
        <v>28</v>
      </c>
      <c r="C63" s="1259">
        <v>221</v>
      </c>
      <c r="D63" s="1259">
        <v>15784107.390745699</v>
      </c>
      <c r="E63" s="1259">
        <v>291</v>
      </c>
      <c r="F63" s="1259">
        <v>15087202.747342199</v>
      </c>
    </row>
    <row r="64" spans="1:6">
      <c r="A64" s="1258" t="s">
        <v>55</v>
      </c>
      <c r="B64" s="1258" t="s">
        <v>56</v>
      </c>
      <c r="C64" s="1259">
        <v>0</v>
      </c>
      <c r="D64" s="1259">
        <v>0</v>
      </c>
      <c r="E64" s="1259">
        <v>0</v>
      </c>
      <c r="F64" s="1259">
        <v>0</v>
      </c>
    </row>
    <row r="65" spans="1:6">
      <c r="A65" s="1258" t="s">
        <v>55</v>
      </c>
      <c r="B65" s="1258" t="s">
        <v>28</v>
      </c>
      <c r="C65" s="1259">
        <v>3</v>
      </c>
      <c r="D65" s="1259">
        <v>233558.56984150299</v>
      </c>
      <c r="E65" s="1259">
        <v>5</v>
      </c>
      <c r="F65" s="1259">
        <v>22051.106701371002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20</v>
      </c>
      <c r="D68" s="1261">
        <v>2705586.5222606901</v>
      </c>
      <c r="E68" s="1261">
        <v>36</v>
      </c>
      <c r="F68" s="1261">
        <v>3292763.1866307799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214269459</v>
      </c>
      <c r="E73" s="445"/>
      <c r="F73" s="327"/>
    </row>
    <row r="74" spans="1:6">
      <c r="A74" s="1258" t="s">
        <v>63</v>
      </c>
      <c r="B74" s="1258" t="s">
        <v>724</v>
      </c>
      <c r="C74" s="1271" t="s">
        <v>718</v>
      </c>
      <c r="D74" s="1259">
        <v>14088791.767773071</v>
      </c>
      <c r="E74" s="445"/>
      <c r="F74" s="327"/>
    </row>
    <row r="75" spans="1:6">
      <c r="A75" s="1258" t="s">
        <v>64</v>
      </c>
      <c r="B75" s="1258" t="s">
        <v>723</v>
      </c>
      <c r="C75" s="1271" t="s">
        <v>719</v>
      </c>
      <c r="D75" s="1259">
        <v>50128844</v>
      </c>
      <c r="E75" s="445"/>
      <c r="F75" s="327"/>
    </row>
    <row r="76" spans="1:6">
      <c r="A76" s="1258" t="s">
        <v>64</v>
      </c>
      <c r="B76" s="1258" t="s">
        <v>724</v>
      </c>
      <c r="C76" s="1271" t="s">
        <v>720</v>
      </c>
      <c r="D76" s="1259">
        <v>1183288.767773072</v>
      </c>
      <c r="E76" s="445"/>
      <c r="F76" s="327"/>
    </row>
    <row r="77" spans="1:6">
      <c r="A77" s="1258" t="s">
        <v>65</v>
      </c>
      <c r="B77" s="1258" t="s">
        <v>723</v>
      </c>
      <c r="C77" s="1271" t="s">
        <v>721</v>
      </c>
      <c r="D77" s="1259">
        <v>351523169</v>
      </c>
      <c r="E77" s="445"/>
      <c r="F77" s="327"/>
    </row>
    <row r="78" spans="1:6">
      <c r="A78" s="1253" t="s">
        <v>65</v>
      </c>
      <c r="B78" s="1253" t="s">
        <v>724</v>
      </c>
      <c r="C78" s="1253" t="s">
        <v>722</v>
      </c>
      <c r="D78" s="1261">
        <v>43841055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3186126.464453856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315</v>
      </c>
      <c r="C89" s="327"/>
      <c r="D89" s="327"/>
      <c r="E89" s="327"/>
      <c r="F89" s="327"/>
    </row>
    <row r="90" spans="1:6">
      <c r="A90" s="1258" t="s">
        <v>548</v>
      </c>
      <c r="B90" s="1259">
        <v>0</v>
      </c>
      <c r="C90" s="327"/>
      <c r="D90" s="327"/>
      <c r="E90" s="327"/>
      <c r="F90" s="327"/>
    </row>
    <row r="91" spans="1:6">
      <c r="A91" s="1258" t="s">
        <v>67</v>
      </c>
      <c r="B91" s="1259">
        <v>5310.3331327322603</v>
      </c>
      <c r="C91" s="327"/>
      <c r="D91" s="327"/>
      <c r="E91" s="327"/>
      <c r="F91" s="327"/>
    </row>
    <row r="92" spans="1:6">
      <c r="A92" s="1253" t="s">
        <v>68</v>
      </c>
      <c r="B92" s="1254">
        <v>5004.2180375998796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22345</v>
      </c>
      <c r="C97" s="327"/>
      <c r="D97" s="327"/>
      <c r="E97" s="327"/>
      <c r="F97" s="327"/>
    </row>
    <row r="98" spans="1:6">
      <c r="A98" s="1258" t="s">
        <v>71</v>
      </c>
      <c r="B98" s="1259">
        <v>44</v>
      </c>
      <c r="C98" s="327"/>
      <c r="D98" s="327"/>
      <c r="E98" s="327"/>
      <c r="F98" s="327"/>
    </row>
    <row r="99" spans="1:6">
      <c r="A99" s="1258" t="s">
        <v>72</v>
      </c>
      <c r="B99" s="1259">
        <v>106</v>
      </c>
      <c r="C99" s="327"/>
      <c r="D99" s="327"/>
      <c r="E99" s="327"/>
      <c r="F99" s="327"/>
    </row>
    <row r="100" spans="1:6">
      <c r="A100" s="1258" t="s">
        <v>73</v>
      </c>
      <c r="B100" s="1259">
        <v>1577</v>
      </c>
      <c r="C100" s="327"/>
      <c r="D100" s="327"/>
      <c r="E100" s="327"/>
      <c r="F100" s="327"/>
    </row>
    <row r="101" spans="1:6">
      <c r="A101" s="1258" t="s">
        <v>74</v>
      </c>
      <c r="B101" s="1259">
        <v>147</v>
      </c>
      <c r="C101" s="327"/>
      <c r="D101" s="327"/>
      <c r="E101" s="327"/>
      <c r="F101" s="327"/>
    </row>
    <row r="102" spans="1:6">
      <c r="A102" s="1258" t="s">
        <v>75</v>
      </c>
      <c r="B102" s="1259">
        <v>648</v>
      </c>
      <c r="C102" s="327"/>
      <c r="D102" s="327"/>
      <c r="E102" s="327"/>
      <c r="F102" s="327"/>
    </row>
    <row r="103" spans="1:6">
      <c r="A103" s="1258" t="s">
        <v>76</v>
      </c>
      <c r="B103" s="1259">
        <v>662</v>
      </c>
      <c r="C103" s="327"/>
      <c r="D103" s="327"/>
      <c r="E103" s="327"/>
      <c r="F103" s="327"/>
    </row>
    <row r="104" spans="1:6">
      <c r="A104" s="1258" t="s">
        <v>77</v>
      </c>
      <c r="B104" s="1259">
        <v>5761</v>
      </c>
      <c r="C104" s="327"/>
      <c r="D104" s="327"/>
      <c r="E104" s="327"/>
      <c r="F104" s="327"/>
    </row>
    <row r="105" spans="1:6">
      <c r="A105" s="1253" t="s">
        <v>78</v>
      </c>
      <c r="B105" s="1261">
        <v>35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12</v>
      </c>
      <c r="C123" s="1259">
        <v>27</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122</v>
      </c>
      <c r="C129" s="327"/>
      <c r="D129" s="327"/>
      <c r="E129" s="327"/>
      <c r="F129" s="327"/>
    </row>
    <row r="130" spans="1:6">
      <c r="A130" s="1258" t="s">
        <v>284</v>
      </c>
      <c r="B130" s="1259">
        <v>1</v>
      </c>
      <c r="C130" s="327"/>
      <c r="D130" s="327"/>
      <c r="E130" s="327"/>
      <c r="F130" s="327"/>
    </row>
    <row r="131" spans="1:6">
      <c r="A131" s="1258" t="s">
        <v>285</v>
      </c>
      <c r="B131" s="1259">
        <v>6</v>
      </c>
      <c r="C131" s="327"/>
      <c r="D131" s="327"/>
      <c r="E131" s="327"/>
      <c r="F131" s="327"/>
    </row>
    <row r="132" spans="1:6">
      <c r="A132" s="1253" t="s">
        <v>286</v>
      </c>
      <c r="B132" s="1254">
        <v>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540336.19531013514</v>
      </c>
      <c r="C3" s="44" t="s">
        <v>163</v>
      </c>
      <c r="D3" s="44"/>
      <c r="E3" s="157"/>
      <c r="F3" s="44"/>
      <c r="G3" s="44"/>
      <c r="H3" s="44"/>
      <c r="I3" s="44"/>
      <c r="J3" s="44"/>
      <c r="K3" s="97"/>
    </row>
    <row r="4" spans="1:11">
      <c r="A4" s="352" t="s">
        <v>164</v>
      </c>
      <c r="B4" s="50">
        <f>IF(ISERROR('SEAP template'!B78+'SEAP template'!C78),0,'SEAP template'!B78+'SEAP template'!C78)</f>
        <v>20574.960261241231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9.181818181818184E-2</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0.21258491613366251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0.45909090909090916</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2.0454545454545454</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0.22444444444444447</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4424.6769999999997</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4424.6769999999997</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0.21258491613366251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940.61958896354531</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113794.158707831</v>
      </c>
      <c r="C5" s="18">
        <f>IF(ISERROR('Eigen informatie GS &amp; warmtenet'!B57),0,'Eigen informatie GS &amp; warmtenet'!B57)</f>
        <v>0</v>
      </c>
      <c r="D5" s="31">
        <f>(SUM(HH_hh_gas_kWh,HH_rest_gas_kWh)/1000)*0.902</f>
        <v>411783.2465173169</v>
      </c>
      <c r="E5" s="18">
        <f>B32*B41</f>
        <v>4075.7745275325415</v>
      </c>
      <c r="F5" s="18">
        <f>B36*B45</f>
        <v>124258.53216514841</v>
      </c>
      <c r="G5" s="19"/>
      <c r="H5" s="18"/>
      <c r="I5" s="18"/>
      <c r="J5" s="18">
        <f>B35*B44+C35*C44</f>
        <v>2254.6277687687516</v>
      </c>
      <c r="K5" s="18"/>
      <c r="L5" s="18"/>
      <c r="M5" s="18"/>
      <c r="N5" s="18">
        <f>B34*B43+C34*C43</f>
        <v>47389.331342799545</v>
      </c>
      <c r="O5" s="18">
        <f>B52*B53*B54</f>
        <v>232.9366666666667</v>
      </c>
      <c r="P5" s="18">
        <f>B60*B61*B62/1000-B60*B61*B62/1000/B63</f>
        <v>400.4</v>
      </c>
    </row>
    <row r="6" spans="1:16">
      <c r="A6" s="17" t="s">
        <v>597</v>
      </c>
      <c r="B6" s="731">
        <f>kWh_PV_kleiner_dan_10kW</f>
        <v>5310.3331327322603</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119104.49184056326</v>
      </c>
      <c r="C8" s="22">
        <f>C5</f>
        <v>0</v>
      </c>
      <c r="D8" s="22">
        <f>D5</f>
        <v>411783.2465173169</v>
      </c>
      <c r="E8" s="22">
        <f>E5</f>
        <v>4075.7745275325415</v>
      </c>
      <c r="F8" s="22">
        <f>F5</f>
        <v>124258.53216514841</v>
      </c>
      <c r="G8" s="22"/>
      <c r="H8" s="22"/>
      <c r="I8" s="22"/>
      <c r="J8" s="22">
        <f>J5</f>
        <v>2254.6277687687516</v>
      </c>
      <c r="K8" s="22"/>
      <c r="L8" s="22">
        <f>L5</f>
        <v>0</v>
      </c>
      <c r="M8" s="22">
        <f>M5</f>
        <v>0</v>
      </c>
      <c r="N8" s="22">
        <f>N5</f>
        <v>47389.331342799545</v>
      </c>
      <c r="O8" s="22">
        <f>O5</f>
        <v>232.9366666666667</v>
      </c>
      <c r="P8" s="22">
        <f>P5</f>
        <v>400.4</v>
      </c>
    </row>
    <row r="9" spans="1:16">
      <c r="B9" s="20"/>
      <c r="C9" s="20"/>
      <c r="D9" s="258"/>
      <c r="E9" s="20"/>
      <c r="F9" s="20"/>
      <c r="G9" s="20"/>
      <c r="H9" s="20"/>
      <c r="I9" s="20"/>
      <c r="J9" s="20"/>
      <c r="K9" s="20"/>
      <c r="L9" s="20"/>
      <c r="M9" s="20"/>
      <c r="N9" s="20"/>
      <c r="O9" s="20"/>
      <c r="P9" s="20"/>
    </row>
    <row r="10" spans="1:16">
      <c r="A10" s="25" t="s">
        <v>207</v>
      </c>
      <c r="B10" s="26">
        <f ca="1">'EF ele_warmte'!B12</f>
        <v>0.21258491613366251</v>
      </c>
      <c r="C10" s="26">
        <f ca="1">'EF ele_warmte'!B22</f>
        <v>0.22444444444444447</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25319.818409068634</v>
      </c>
      <c r="C12" s="24">
        <f ca="1">C10*C8</f>
        <v>0</v>
      </c>
      <c r="D12" s="24">
        <f>D8*D10</f>
        <v>83180.215796498014</v>
      </c>
      <c r="E12" s="24">
        <f>E10*E8</f>
        <v>925.20081774988694</v>
      </c>
      <c r="F12" s="24">
        <f>F10*F8</f>
        <v>33177.02808809463</v>
      </c>
      <c r="G12" s="24"/>
      <c r="H12" s="24"/>
      <c r="I12" s="24"/>
      <c r="J12" s="24">
        <f>J10*J8</f>
        <v>798.13823014413799</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34936</v>
      </c>
      <c r="C26" s="37"/>
      <c r="D26" s="228"/>
    </row>
    <row r="27" spans="1:5" s="16" customFormat="1">
      <c r="A27" s="230" t="s">
        <v>623</v>
      </c>
      <c r="B27" s="38">
        <f>SUM(HH_hh_gas_aantal,HH_rest_gas_aantal)</f>
        <v>28504</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27078.799999999999</v>
      </c>
      <c r="C31" s="35" t="s">
        <v>104</v>
      </c>
      <c r="D31" s="174"/>
    </row>
    <row r="32" spans="1:5">
      <c r="A32" s="171" t="s">
        <v>72</v>
      </c>
      <c r="B32" s="34">
        <f>IF((B21*($B$26-($B$27-0.05*$B$27)-$B$60))&lt;0,0,B21*($B$26-($B$27-0.05*$B$27)-$B$60))</f>
        <v>192.57720539985121</v>
      </c>
      <c r="C32" s="35" t="s">
        <v>104</v>
      </c>
      <c r="D32" s="174"/>
    </row>
    <row r="33" spans="1:6">
      <c r="A33" s="171" t="s">
        <v>73</v>
      </c>
      <c r="B33" s="34">
        <f>IF((B22*($B$26-($B$27-0.05*$B$27)-$B$60))&lt;0,0,B22*($B$26-($B$27-0.05*$B$27)-$B$60))</f>
        <v>1296.2704544954802</v>
      </c>
      <c r="C33" s="35" t="s">
        <v>104</v>
      </c>
      <c r="D33" s="174"/>
    </row>
    <row r="34" spans="1:6">
      <c r="A34" s="171" t="s">
        <v>74</v>
      </c>
      <c r="B34" s="34">
        <f>IF((B24*($B$26-($B$27-0.05*$B$27)-$B$60))&lt;0,0,B24*($B$26-($B$27-0.05*$B$27)-$B$60))</f>
        <v>328.76151016549545</v>
      </c>
      <c r="C34" s="34">
        <f>B26*C24</f>
        <v>7144.4933194467085</v>
      </c>
      <c r="D34" s="233"/>
    </row>
    <row r="35" spans="1:6">
      <c r="A35" s="171" t="s">
        <v>76</v>
      </c>
      <c r="B35" s="34">
        <f>IF((B19*($B$26-($B$27-0.05*$B$27)-$B$60))&lt;0,0,B19*($B$26-($B$27-0.05*$B$27)-$B$60))</f>
        <v>122.22312552589325</v>
      </c>
      <c r="C35" s="34">
        <f>B35/2</f>
        <v>61.111562762946626</v>
      </c>
      <c r="D35" s="233"/>
    </row>
    <row r="36" spans="1:6">
      <c r="A36" s="171" t="s">
        <v>77</v>
      </c>
      <c r="B36" s="34">
        <f>IF((B18*($B$26-($B$27-0.05*$B$27)-$B$60))&lt;0,0,B18*($B$26-($B$27-0.05*$B$27)-$B$60))</f>
        <v>5896.3677044132783</v>
      </c>
      <c r="C36" s="35" t="s">
        <v>104</v>
      </c>
      <c r="D36" s="174"/>
    </row>
    <row r="37" spans="1:6">
      <c r="A37" s="171" t="s">
        <v>78</v>
      </c>
      <c r="B37" s="34">
        <f>B60</f>
        <v>21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149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206930.29913918409</v>
      </c>
      <c r="C5" s="18">
        <f>IF(ISERROR('Eigen informatie GS &amp; warmtenet'!B58),0,'Eigen informatie GS &amp; warmtenet'!B58)</f>
        <v>0</v>
      </c>
      <c r="D5" s="31">
        <f>SUM(D6:D12)</f>
        <v>222414.68180787622</v>
      </c>
      <c r="E5" s="18">
        <f>SUM(E6:E12)</f>
        <v>1284.710552272827</v>
      </c>
      <c r="F5" s="18">
        <f>SUM(F6:F12)</f>
        <v>37103.162651938997</v>
      </c>
      <c r="G5" s="19"/>
      <c r="H5" s="18"/>
      <c r="I5" s="18"/>
      <c r="J5" s="18">
        <f>SUM(J6:J12)</f>
        <v>0</v>
      </c>
      <c r="K5" s="18"/>
      <c r="L5" s="18"/>
      <c r="M5" s="18"/>
      <c r="N5" s="18">
        <f>SUM(N6:N12)</f>
        <v>9041.415966475055</v>
      </c>
      <c r="O5" s="18">
        <f>B38*B39*B40</f>
        <v>1.5633333333333335</v>
      </c>
      <c r="P5" s="18">
        <f>B46*B47*B48/1000-B46*B47*B48/1000/B49</f>
        <v>114.4</v>
      </c>
      <c r="R5" s="33"/>
    </row>
    <row r="6" spans="1:18">
      <c r="A6" s="33" t="s">
        <v>53</v>
      </c>
      <c r="B6" s="38">
        <f>B26</f>
        <v>103549.18163592801</v>
      </c>
      <c r="C6" s="34"/>
      <c r="D6" s="38">
        <f>IF(ISERROR(TER_kantoor_gas_kWh/1000),0,TER_kantoor_gas_kWh/1000)*0.902</f>
        <v>81658.533830041779</v>
      </c>
      <c r="E6" s="34">
        <f>$C$26*'E Balans VL '!I12/100/3.6*1000000</f>
        <v>169.15070204491846</v>
      </c>
      <c r="F6" s="34">
        <f>$C$26*('E Balans VL '!L12+'E Balans VL '!N12)/100/3.6*1000000</f>
        <v>12165.168020247729</v>
      </c>
      <c r="G6" s="35"/>
      <c r="H6" s="34"/>
      <c r="I6" s="34"/>
      <c r="J6" s="34">
        <f>$C$26*('E Balans VL '!D12+'E Balans VL '!E12)/100/3.6*1000000</f>
        <v>0</v>
      </c>
      <c r="K6" s="34"/>
      <c r="L6" s="34"/>
      <c r="M6" s="34"/>
      <c r="N6" s="34">
        <f>$C$26*'E Balans VL '!Y12/100/3.6*1000000</f>
        <v>753.97048265389162</v>
      </c>
      <c r="O6" s="34"/>
      <c r="P6" s="34"/>
      <c r="R6" s="33"/>
    </row>
    <row r="7" spans="1:18">
      <c r="A7" s="33" t="s">
        <v>52</v>
      </c>
      <c r="B7" s="38">
        <f t="shared" ref="B7:B12" si="0">B27</f>
        <v>11918.983072834801</v>
      </c>
      <c r="C7" s="34"/>
      <c r="D7" s="38">
        <f>IF(ISERROR(TER_horeca_gas_kWh/1000),0,TER_horeca_gas_kWh/1000)*0.902</f>
        <v>22652.871165196382</v>
      </c>
      <c r="E7" s="34">
        <f>$C$27*'E Balans VL '!I9/100/3.6*1000000</f>
        <v>616.6517886949091</v>
      </c>
      <c r="F7" s="34">
        <f>$C$27*('E Balans VL '!L9+'E Balans VL '!N9)/100/3.6*1000000</f>
        <v>2711.7535316647081</v>
      </c>
      <c r="G7" s="35"/>
      <c r="H7" s="34"/>
      <c r="I7" s="34"/>
      <c r="J7" s="34">
        <f>$C$27*('E Balans VL '!D9+'E Balans VL '!E9)/100/3.6*1000000</f>
        <v>0</v>
      </c>
      <c r="K7" s="34"/>
      <c r="L7" s="34"/>
      <c r="M7" s="34"/>
      <c r="N7" s="34">
        <f>$C$27*'E Balans VL '!Y9/100/3.6*1000000</f>
        <v>1.2548605959756884</v>
      </c>
      <c r="O7" s="34"/>
      <c r="P7" s="34"/>
      <c r="R7" s="33"/>
    </row>
    <row r="8" spans="1:18">
      <c r="A8" s="6" t="s">
        <v>51</v>
      </c>
      <c r="B8" s="38">
        <f t="shared" si="0"/>
        <v>44244.2563265032</v>
      </c>
      <c r="C8" s="34"/>
      <c r="D8" s="38">
        <f>IF(ISERROR(TER_handel_gas_kWh/1000),0,TER_handel_gas_kWh/1000)*0.902</f>
        <v>36882.721998173191</v>
      </c>
      <c r="E8" s="34">
        <f>$C$28*'E Balans VL '!I13/100/3.6*1000000</f>
        <v>232.40384087845487</v>
      </c>
      <c r="F8" s="34">
        <f>$C$28*('E Balans VL '!L13+'E Balans VL '!N13)/100/3.6*1000000</f>
        <v>8341.5240746106501</v>
      </c>
      <c r="G8" s="35"/>
      <c r="H8" s="34"/>
      <c r="I8" s="34"/>
      <c r="J8" s="34">
        <f>$C$28*('E Balans VL '!D13+'E Balans VL '!E13)/100/3.6*1000000</f>
        <v>0</v>
      </c>
      <c r="K8" s="34"/>
      <c r="L8" s="34"/>
      <c r="M8" s="34"/>
      <c r="N8" s="34">
        <f>$C$28*'E Balans VL '!Y13/100/3.6*1000000</f>
        <v>219.34285109837768</v>
      </c>
      <c r="O8" s="34"/>
      <c r="P8" s="34"/>
      <c r="R8" s="33"/>
    </row>
    <row r="9" spans="1:18">
      <c r="A9" s="33" t="s">
        <v>50</v>
      </c>
      <c r="B9" s="38">
        <f t="shared" si="0"/>
        <v>11341.210176642699</v>
      </c>
      <c r="C9" s="34"/>
      <c r="D9" s="38">
        <f>IF(ISERROR(TER_gezond_gas_kWh/1000),0,TER_gezond_gas_kWh/1000)*0.902</f>
        <v>22474.716044715518</v>
      </c>
      <c r="E9" s="34">
        <f>$C$29*'E Balans VL '!I10/100/3.6*1000000</f>
        <v>10.068085517461768</v>
      </c>
      <c r="F9" s="34">
        <f>$C$29*('E Balans VL '!L10+'E Balans VL '!N10)/100/3.6*1000000</f>
        <v>3525.0205719067017</v>
      </c>
      <c r="G9" s="35"/>
      <c r="H9" s="34"/>
      <c r="I9" s="34"/>
      <c r="J9" s="34">
        <f>$C$29*('E Balans VL '!D10+'E Balans VL '!E10)/100/3.6*1000000</f>
        <v>0</v>
      </c>
      <c r="K9" s="34"/>
      <c r="L9" s="34"/>
      <c r="M9" s="34"/>
      <c r="N9" s="34">
        <f>$C$29*'E Balans VL '!Y10/100/3.6*1000000</f>
        <v>87.542709564407843</v>
      </c>
      <c r="O9" s="34"/>
      <c r="P9" s="34"/>
      <c r="R9" s="33"/>
    </row>
    <row r="10" spans="1:18">
      <c r="A10" s="33" t="s">
        <v>49</v>
      </c>
      <c r="B10" s="38">
        <f t="shared" si="0"/>
        <v>14920.2396382936</v>
      </c>
      <c r="C10" s="34"/>
      <c r="D10" s="38">
        <f>IF(ISERROR(TER_ander_gas_kWh/1000),0,TER_ander_gas_kWh/1000)*0.902</f>
        <v>30193.931314826059</v>
      </c>
      <c r="E10" s="34">
        <f>$C$30*'E Balans VL '!I14/100/3.6*1000000</f>
        <v>121.69596320841757</v>
      </c>
      <c r="F10" s="34">
        <f>$C$30*('E Balans VL '!L14+'E Balans VL '!N14)/100/3.6*1000000</f>
        <v>4348.972843487385</v>
      </c>
      <c r="G10" s="35"/>
      <c r="H10" s="34"/>
      <c r="I10" s="34"/>
      <c r="J10" s="34">
        <f>$C$30*('E Balans VL '!D14+'E Balans VL '!E14)/100/3.6*1000000</f>
        <v>0</v>
      </c>
      <c r="K10" s="34"/>
      <c r="L10" s="34"/>
      <c r="M10" s="34"/>
      <c r="N10" s="34">
        <f>$C$30*'E Balans VL '!Y14/100/3.6*1000000</f>
        <v>7086.4487372581434</v>
      </c>
      <c r="O10" s="34"/>
      <c r="P10" s="34"/>
      <c r="R10" s="33"/>
    </row>
    <row r="11" spans="1:18">
      <c r="A11" s="33" t="s">
        <v>54</v>
      </c>
      <c r="B11" s="38">
        <f t="shared" si="0"/>
        <v>5869.2255416395701</v>
      </c>
      <c r="C11" s="34"/>
      <c r="D11" s="38">
        <f>IF(ISERROR(TER_onderwijs_gas_kWh/1000),0,TER_onderwijs_gas_kWh/1000)*0.902</f>
        <v>14314.642588470673</v>
      </c>
      <c r="E11" s="34">
        <f>$C$31*'E Balans VL '!I11/100/3.6*1000000</f>
        <v>4.8964973652465256</v>
      </c>
      <c r="F11" s="34">
        <f>$C$31*('E Balans VL '!L11+'E Balans VL '!N11)/100/3.6*1000000</f>
        <v>3071.3737389427702</v>
      </c>
      <c r="G11" s="35"/>
      <c r="H11" s="34"/>
      <c r="I11" s="34"/>
      <c r="J11" s="34">
        <f>$C$31*('E Balans VL '!D11+'E Balans VL '!E11)/100/3.6*1000000</f>
        <v>0</v>
      </c>
      <c r="K11" s="34"/>
      <c r="L11" s="34"/>
      <c r="M11" s="34"/>
      <c r="N11" s="34">
        <f>$C$31*'E Balans VL '!Y11/100/3.6*1000000</f>
        <v>25.840926296393018</v>
      </c>
      <c r="O11" s="34"/>
      <c r="P11" s="34"/>
      <c r="R11" s="33"/>
    </row>
    <row r="12" spans="1:18">
      <c r="A12" s="33" t="s">
        <v>249</v>
      </c>
      <c r="B12" s="38">
        <f t="shared" si="0"/>
        <v>15087.202747342199</v>
      </c>
      <c r="C12" s="34"/>
      <c r="D12" s="38">
        <f>IF(ISERROR(TER_rest_gas_kWh/1000),0,TER_rest_gas_kWh/1000)*0.902</f>
        <v>14237.26486645262</v>
      </c>
      <c r="E12" s="34">
        <f>$C$32*'E Balans VL '!I8/100/3.6*1000000</f>
        <v>129.84367456341886</v>
      </c>
      <c r="F12" s="34">
        <f>$C$32*('E Balans VL '!L8+'E Balans VL '!N8)/100/3.6*1000000</f>
        <v>2939.3498710790514</v>
      </c>
      <c r="G12" s="35"/>
      <c r="H12" s="34"/>
      <c r="I12" s="34"/>
      <c r="J12" s="34">
        <f>$C$32*('E Balans VL '!D8+'E Balans VL '!E8)/100/3.6*1000000</f>
        <v>0</v>
      </c>
      <c r="K12" s="34"/>
      <c r="L12" s="34"/>
      <c r="M12" s="34"/>
      <c r="N12" s="34">
        <f>$C$32*'E Balans VL '!Y8/100/3.6*1000000</f>
        <v>867.01539900786531</v>
      </c>
      <c r="O12" s="34"/>
      <c r="P12" s="34"/>
      <c r="R12" s="33"/>
    </row>
    <row r="13" spans="1:18">
      <c r="A13" s="17" t="s">
        <v>488</v>
      </c>
      <c r="B13" s="246">
        <f ca="1">'lokale energieproductie'!N38+'lokale energieproductie'!N31</f>
        <v>9945</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-28414.285714285717</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216875.29913918409</v>
      </c>
      <c r="C16" s="22">
        <f t="shared" ca="1" si="1"/>
        <v>0</v>
      </c>
      <c r="D16" s="22">
        <f t="shared" ca="1" si="1"/>
        <v>222414.68180787622</v>
      </c>
      <c r="E16" s="22">
        <f t="shared" si="1"/>
        <v>1284.710552272827</v>
      </c>
      <c r="F16" s="22">
        <f t="shared" ca="1" si="1"/>
        <v>37103.162651938997</v>
      </c>
      <c r="G16" s="22">
        <f t="shared" si="1"/>
        <v>0</v>
      </c>
      <c r="H16" s="22">
        <f t="shared" si="1"/>
        <v>0</v>
      </c>
      <c r="I16" s="22">
        <f t="shared" si="1"/>
        <v>0</v>
      </c>
      <c r="J16" s="22">
        <f t="shared" si="1"/>
        <v>0</v>
      </c>
      <c r="K16" s="22">
        <f t="shared" si="1"/>
        <v>0</v>
      </c>
      <c r="L16" s="22">
        <f t="shared" ca="1" si="1"/>
        <v>0</v>
      </c>
      <c r="M16" s="22">
        <f t="shared" si="1"/>
        <v>0</v>
      </c>
      <c r="N16" s="22">
        <f t="shared" ca="1" si="1"/>
        <v>0</v>
      </c>
      <c r="O16" s="22">
        <f>O5</f>
        <v>1.5633333333333335</v>
      </c>
      <c r="P16" s="22">
        <f>P5</f>
        <v>114.4</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0.21258491613366251</v>
      </c>
      <c r="C18" s="26">
        <f ca="1">'EF ele_warmte'!B22</f>
        <v>0.22444444444444447</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46104.417278966423</v>
      </c>
      <c r="C20" s="24">
        <f t="shared" ref="C20:P20" ca="1" si="2">C16*C18</f>
        <v>0</v>
      </c>
      <c r="D20" s="24">
        <f t="shared" ca="1" si="2"/>
        <v>44927.765725190999</v>
      </c>
      <c r="E20" s="24">
        <f t="shared" si="2"/>
        <v>291.62929536593174</v>
      </c>
      <c r="F20" s="24">
        <f t="shared" ca="1" si="2"/>
        <v>9906.5444280677129</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103549.18163592801</v>
      </c>
      <c r="C26" s="40">
        <f>IF(ISERROR(B26*3.6/1000000/'E Balans VL '!Z12*100),0,B26*3.6/1000000/'E Balans VL '!Z12*100)</f>
        <v>2.1947307400099696</v>
      </c>
      <c r="D26" s="236" t="s">
        <v>660</v>
      </c>
      <c r="F26" s="6"/>
    </row>
    <row r="27" spans="1:18">
      <c r="A27" s="231" t="s">
        <v>52</v>
      </c>
      <c r="B27" s="34">
        <f>IF(ISERROR(TER_horeca_ele_kWh/1000),0,TER_horeca_ele_kWh/1000)</f>
        <v>11918.983072834801</v>
      </c>
      <c r="C27" s="40">
        <f>IF(ISERROR(B27*3.6/1000000/'E Balans VL '!Z9*100),0,B27*3.6/1000000/'E Balans VL '!Z9*100)</f>
        <v>0.93529982308746973</v>
      </c>
      <c r="D27" s="236" t="s">
        <v>660</v>
      </c>
      <c r="F27" s="6"/>
    </row>
    <row r="28" spans="1:18">
      <c r="A28" s="171" t="s">
        <v>51</v>
      </c>
      <c r="B28" s="34">
        <f>IF(ISERROR(TER_handel_ele_kWh/1000),0,TER_handel_ele_kWh/1000)</f>
        <v>44244.2563265032</v>
      </c>
      <c r="C28" s="40">
        <f>IF(ISERROR(B28*3.6/1000000/'E Balans VL '!Z13*100),0,B28*3.6/1000000/'E Balans VL '!Z13*100)</f>
        <v>1.2355847859553946</v>
      </c>
      <c r="D28" s="236" t="s">
        <v>660</v>
      </c>
      <c r="F28" s="6"/>
    </row>
    <row r="29" spans="1:18">
      <c r="A29" s="231" t="s">
        <v>50</v>
      </c>
      <c r="B29" s="34">
        <f>IF(ISERROR(TER_gezond_ele_kWh/1000),0,TER_gezond_ele_kWh/1000)</f>
        <v>11341.210176642699</v>
      </c>
      <c r="C29" s="40">
        <f>IF(ISERROR(B29*3.6/1000000/'E Balans VL '!Z10*100),0,B29*3.6/1000000/'E Balans VL '!Z10*100)</f>
        <v>1.2996950597951096</v>
      </c>
      <c r="D29" s="236" t="s">
        <v>660</v>
      </c>
      <c r="F29" s="6"/>
    </row>
    <row r="30" spans="1:18">
      <c r="A30" s="231" t="s">
        <v>49</v>
      </c>
      <c r="B30" s="34">
        <f>IF(ISERROR(TER_ander_ele_kWh/1000),0,TER_ander_ele_kWh/1000)</f>
        <v>14920.2396382936</v>
      </c>
      <c r="C30" s="40">
        <f>IF(ISERROR(B30*3.6/1000000/'E Balans VL '!Z14*100),0,B30*3.6/1000000/'E Balans VL '!Z14*100)</f>
        <v>1.1125581422753468</v>
      </c>
      <c r="D30" s="236" t="s">
        <v>660</v>
      </c>
      <c r="F30" s="6"/>
    </row>
    <row r="31" spans="1:18">
      <c r="A31" s="231" t="s">
        <v>54</v>
      </c>
      <c r="B31" s="34">
        <f>IF(ISERROR(TER_onderwijs_ele_kWh/1000),0,TER_onderwijs_ele_kWh/1000)</f>
        <v>5869.2255416395701</v>
      </c>
      <c r="C31" s="40">
        <f>IF(ISERROR(B31*3.6/1000000/'E Balans VL '!Z11*100),0,B31*3.6/1000000/'E Balans VL '!Z11*100)</f>
        <v>1.6774376044396637</v>
      </c>
      <c r="D31" s="236" t="s">
        <v>660</v>
      </c>
    </row>
    <row r="32" spans="1:18">
      <c r="A32" s="231" t="s">
        <v>249</v>
      </c>
      <c r="B32" s="34">
        <f>IF(ISERROR(TER_rest_ele_kWh/1000),0,TER_rest_ele_kWh/1000)</f>
        <v>15087.202747342199</v>
      </c>
      <c r="C32" s="40">
        <f>IF(ISERROR(B32*3.6/1000000/'E Balans VL '!Z8*100),0,B32*3.6/1000000/'E Balans VL '!Z8*100)</f>
        <v>0.12430916712680684</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6</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191961.24600148655</v>
      </c>
      <c r="C5" s="18">
        <f>IF(ISERROR('Eigen informatie GS &amp; warmtenet'!B59),0,'Eigen informatie GS &amp; warmtenet'!B59)</f>
        <v>0</v>
      </c>
      <c r="D5" s="31">
        <f>SUM(D6:D15)</f>
        <v>297088.10718978802</v>
      </c>
      <c r="E5" s="18">
        <f>SUM(E6:E15)</f>
        <v>1851.4178684566282</v>
      </c>
      <c r="F5" s="18">
        <f>SUM(F6:F15)</f>
        <v>38693.582301329312</v>
      </c>
      <c r="G5" s="19"/>
      <c r="H5" s="18"/>
      <c r="I5" s="18"/>
      <c r="J5" s="18">
        <f>SUM(J6:J15)</f>
        <v>1269.2861052135436</v>
      </c>
      <c r="K5" s="18"/>
      <c r="L5" s="18"/>
      <c r="M5" s="18"/>
      <c r="N5" s="18">
        <f>SUM(N6:N15)</f>
        <v>7051.1061443559502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32913.355845885795</v>
      </c>
      <c r="C8" s="34"/>
      <c r="D8" s="38">
        <f>IF( ISERROR(IND_metaal_Gas_kWH/1000),0,IND_metaal_Gas_kWH/1000)*0.902</f>
        <v>4373.3284720609981</v>
      </c>
      <c r="E8" s="34">
        <f>C30*'E Balans VL '!I18/100/3.6*1000000</f>
        <v>299.73600029513261</v>
      </c>
      <c r="F8" s="34">
        <f>C30*'E Balans VL '!L18/100/3.6*1000000+C30*'E Balans VL '!N18/100/3.6*1000000</f>
        <v>4341.0216877550456</v>
      </c>
      <c r="G8" s="35"/>
      <c r="H8" s="34"/>
      <c r="I8" s="34"/>
      <c r="J8" s="41">
        <f>C30*'E Balans VL '!D18/100/3.6*1000000+C30*'E Balans VL '!E18/100/3.6*1000000</f>
        <v>539.73124740065009</v>
      </c>
      <c r="K8" s="34"/>
      <c r="L8" s="34"/>
      <c r="M8" s="34"/>
      <c r="N8" s="34">
        <f>C30*'E Balans VL '!Y18/100/3.6*1000000</f>
        <v>113.11012924523907</v>
      </c>
      <c r="O8" s="34"/>
      <c r="P8" s="34"/>
      <c r="R8" s="33"/>
    </row>
    <row r="9" spans="1:18">
      <c r="A9" s="6" t="s">
        <v>32</v>
      </c>
      <c r="B9" s="38">
        <f t="shared" si="0"/>
        <v>5765.3986480718604</v>
      </c>
      <c r="C9" s="34"/>
      <c r="D9" s="38">
        <f>IF( ISERROR(IND_andere_gas_kWh/1000),0,IND_andere_gas_kWh/1000)*0.902</f>
        <v>5568.3919687868238</v>
      </c>
      <c r="E9" s="34">
        <f>C31*'E Balans VL '!I19/100/3.6*1000000</f>
        <v>33.324865753420497</v>
      </c>
      <c r="F9" s="34">
        <f>C31*'E Balans VL '!L19/100/3.6*1000000+C31*'E Balans VL '!N19/100/3.6*1000000</f>
        <v>4586.6520445461974</v>
      </c>
      <c r="G9" s="35"/>
      <c r="H9" s="34"/>
      <c r="I9" s="34"/>
      <c r="J9" s="41">
        <f>C31*'E Balans VL '!D19/100/3.6*1000000+C31*'E Balans VL '!E19/100/3.6*1000000</f>
        <v>0.5453426718732779</v>
      </c>
      <c r="K9" s="34"/>
      <c r="L9" s="34"/>
      <c r="M9" s="34"/>
      <c r="N9" s="34">
        <f>C31*'E Balans VL '!Y19/100/3.6*1000000</f>
        <v>436.81619714060628</v>
      </c>
      <c r="O9" s="34"/>
      <c r="P9" s="34"/>
      <c r="R9" s="33"/>
    </row>
    <row r="10" spans="1:18">
      <c r="A10" s="6" t="s">
        <v>40</v>
      </c>
      <c r="B10" s="38">
        <f t="shared" si="0"/>
        <v>2789.7160872220097</v>
      </c>
      <c r="C10" s="34"/>
      <c r="D10" s="38">
        <f>IF( ISERROR(IND_voed_gas_kWh/1000),0,IND_voed_gas_kWh/1000)*0.902</f>
        <v>2763.8736927843688</v>
      </c>
      <c r="E10" s="34">
        <f>C32*'E Balans VL '!I20/100/3.6*1000000</f>
        <v>27.430207456801607</v>
      </c>
      <c r="F10" s="34">
        <f>C32*'E Balans VL '!L20/100/3.6*1000000+C32*'E Balans VL '!N20/100/3.6*1000000</f>
        <v>309.83438465804414</v>
      </c>
      <c r="G10" s="35"/>
      <c r="H10" s="34"/>
      <c r="I10" s="34"/>
      <c r="J10" s="41">
        <f>C32*'E Balans VL '!D20/100/3.6*1000000+C32*'E Balans VL '!E20/100/3.6*1000000</f>
        <v>1.099553755464003E-2</v>
      </c>
      <c r="K10" s="34"/>
      <c r="L10" s="34"/>
      <c r="M10" s="34"/>
      <c r="N10" s="34">
        <f>C32*'E Balans VL '!Y20/100/3.6*1000000</f>
        <v>41.309133147824355</v>
      </c>
      <c r="O10" s="34"/>
      <c r="P10" s="34"/>
      <c r="R10" s="33"/>
    </row>
    <row r="11" spans="1:18">
      <c r="A11" s="6" t="s">
        <v>39</v>
      </c>
      <c r="B11" s="38">
        <f t="shared" si="0"/>
        <v>93.721602831049893</v>
      </c>
      <c r="C11" s="34"/>
      <c r="D11" s="38">
        <f>IF( ISERROR(IND_textiel_gas_kWh/1000),0,IND_textiel_gas_kWh/1000)*0.902</f>
        <v>205.11568291554264</v>
      </c>
      <c r="E11" s="34">
        <f>C33*'E Balans VL '!I21/100/3.6*1000000</f>
        <v>0.18249772350985294</v>
      </c>
      <c r="F11" s="34">
        <f>C33*'E Balans VL '!L21/100/3.6*1000000+C33*'E Balans VL '!N21/100/3.6*1000000</f>
        <v>3.0912460091434566</v>
      </c>
      <c r="G11" s="35"/>
      <c r="H11" s="34"/>
      <c r="I11" s="34"/>
      <c r="J11" s="41">
        <f>C33*'E Balans VL '!D21/100/3.6*1000000+C33*'E Balans VL '!E21/100/3.6*1000000</f>
        <v>0</v>
      </c>
      <c r="K11" s="34"/>
      <c r="L11" s="34"/>
      <c r="M11" s="34"/>
      <c r="N11" s="34">
        <f>C33*'E Balans VL '!Y21/100/3.6*1000000</f>
        <v>0.97213952578968632</v>
      </c>
      <c r="O11" s="34"/>
      <c r="P11" s="34"/>
      <c r="R11" s="33"/>
    </row>
    <row r="12" spans="1:18">
      <c r="A12" s="6" t="s">
        <v>36</v>
      </c>
      <c r="B12" s="38">
        <f t="shared" si="0"/>
        <v>126.16304633456501</v>
      </c>
      <c r="C12" s="34"/>
      <c r="D12" s="38">
        <f>IF( ISERROR(IND_min_gas_kWh/1000),0,IND_min_gas_kWh/1000)*0.902</f>
        <v>0</v>
      </c>
      <c r="E12" s="34">
        <f>C34*'E Balans VL '!I22/100/3.6*1000000</f>
        <v>3.1984577311011848</v>
      </c>
      <c r="F12" s="34">
        <f>C34*'E Balans VL '!L22/100/3.6*1000000+C34*'E Balans VL '!N22/100/3.6*1000000</f>
        <v>34.909754673461734</v>
      </c>
      <c r="G12" s="35"/>
      <c r="H12" s="34"/>
      <c r="I12" s="34"/>
      <c r="J12" s="41">
        <f>C34*'E Balans VL '!D22/100/3.6*1000000+C34*'E Balans VL '!E22/100/3.6*1000000</f>
        <v>0.83320611057468663</v>
      </c>
      <c r="K12" s="34"/>
      <c r="L12" s="34"/>
      <c r="M12" s="34"/>
      <c r="N12" s="34">
        <f>C34*'E Balans VL '!Y22/100/3.6*1000000</f>
        <v>0</v>
      </c>
      <c r="O12" s="34"/>
      <c r="P12" s="34"/>
      <c r="R12" s="33"/>
    </row>
    <row r="13" spans="1:18">
      <c r="A13" s="6" t="s">
        <v>38</v>
      </c>
      <c r="B13" s="38">
        <f t="shared" si="0"/>
        <v>5473.0182132182699</v>
      </c>
      <c r="C13" s="34"/>
      <c r="D13" s="38">
        <f>IF( ISERROR(IND_papier_gas_kWh/1000),0,IND_papier_gas_kWh/1000)*0.902</f>
        <v>6061.4263301726542</v>
      </c>
      <c r="E13" s="34">
        <f>C35*'E Balans VL '!I23/100/3.6*1000000</f>
        <v>186.41893570558233</v>
      </c>
      <c r="F13" s="34">
        <f>C35*'E Balans VL '!L23/100/3.6*1000000+C35*'E Balans VL '!N23/100/3.6*1000000</f>
        <v>904.01415985113113</v>
      </c>
      <c r="G13" s="35"/>
      <c r="H13" s="34"/>
      <c r="I13" s="34"/>
      <c r="J13" s="41">
        <f>C35*'E Balans VL '!D23/100/3.6*1000000+C35*'E Balans VL '!E23/100/3.6*1000000</f>
        <v>0</v>
      </c>
      <c r="K13" s="34"/>
      <c r="L13" s="34"/>
      <c r="M13" s="34"/>
      <c r="N13" s="34">
        <f>C35*'E Balans VL '!Y23/100/3.6*1000000</f>
        <v>2013.9239274938482</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144799.87255792299</v>
      </c>
      <c r="C15" s="34"/>
      <c r="D15" s="38">
        <f>IF( ISERROR(IND_rest_gas_kWh/1000),0,IND_rest_gas_kWh/1000)*0.902</f>
        <v>278115.97104306764</v>
      </c>
      <c r="E15" s="34">
        <f>C37*'E Balans VL '!I15/100/3.6*1000000</f>
        <v>1301.1269037910802</v>
      </c>
      <c r="F15" s="34">
        <f>C37*'E Balans VL '!L15/100/3.6*1000000+C37*'E Balans VL '!N15/100/3.6*1000000</f>
        <v>28514.059023836286</v>
      </c>
      <c r="G15" s="35"/>
      <c r="H15" s="34"/>
      <c r="I15" s="34"/>
      <c r="J15" s="41">
        <f>C37*'E Balans VL '!D15/100/3.6*1000000+C37*'E Balans VL '!E15/100/3.6*1000000</f>
        <v>728.16531349289085</v>
      </c>
      <c r="K15" s="34"/>
      <c r="L15" s="34"/>
      <c r="M15" s="34"/>
      <c r="N15" s="34">
        <f>C37*'E Balans VL '!Y15/100/3.6*1000000</f>
        <v>4444.9746178026426</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191961.24600148655</v>
      </c>
      <c r="C18" s="22">
        <f>C5+C16</f>
        <v>0</v>
      </c>
      <c r="D18" s="22">
        <f>MAX((D5+D16),0)</f>
        <v>297088.10718978802</v>
      </c>
      <c r="E18" s="22">
        <f>MAX((E5+E16),0)</f>
        <v>1851.4178684566282</v>
      </c>
      <c r="F18" s="22">
        <f>MAX((F5+F16),0)</f>
        <v>38693.582301329312</v>
      </c>
      <c r="G18" s="22"/>
      <c r="H18" s="22"/>
      <c r="I18" s="22"/>
      <c r="J18" s="22">
        <f>MAX((J5+J16),0)</f>
        <v>1269.2861052135436</v>
      </c>
      <c r="K18" s="22"/>
      <c r="L18" s="22">
        <f>MAX((L5+L16),0)</f>
        <v>0</v>
      </c>
      <c r="M18" s="22"/>
      <c r="N18" s="22">
        <f>MAX((N5+N16),0)</f>
        <v>7051.1061443559502</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0.21258491613366251</v>
      </c>
      <c r="C20" s="26">
        <f ca="1">'EF ele_warmte'!B22</f>
        <v>0.22444444444444447</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40808.065382139379</v>
      </c>
      <c r="C22" s="24">
        <f ca="1">C18*C20</f>
        <v>0</v>
      </c>
      <c r="D22" s="24">
        <f>D18*D20</f>
        <v>60011.797652337184</v>
      </c>
      <c r="E22" s="24">
        <f>E18*E20</f>
        <v>420.27185613965463</v>
      </c>
      <c r="F22" s="24">
        <f>F18*F20</f>
        <v>10331.186474454928</v>
      </c>
      <c r="G22" s="24"/>
      <c r="H22" s="24"/>
      <c r="I22" s="24"/>
      <c r="J22" s="24">
        <f>J18*J20</f>
        <v>449.32728124559441</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32913.355845885795</v>
      </c>
      <c r="C30" s="40">
        <f>IF(ISERROR(B30*3.6/1000000/'E Balans VL '!Z18*100),0,B30*3.6/1000000/'E Balans VL '!Z18*100)</f>
        <v>1.8314081631013155</v>
      </c>
      <c r="D30" s="236" t="s">
        <v>660</v>
      </c>
    </row>
    <row r="31" spans="1:18">
      <c r="A31" s="6" t="s">
        <v>32</v>
      </c>
      <c r="B31" s="38">
        <f>IF( ISERROR(IND_ander_ele_kWh/1000),0,IND_ander_ele_kWh/1000)</f>
        <v>5765.3986480718604</v>
      </c>
      <c r="C31" s="40">
        <f>IF(ISERROR(B31*3.6/1000000/'E Balans VL '!Z19*100),0,B31*3.6/1000000/'E Balans VL '!Z19*100)</f>
        <v>0.26801824146673048</v>
      </c>
      <c r="D31" s="236" t="s">
        <v>660</v>
      </c>
    </row>
    <row r="32" spans="1:18">
      <c r="A32" s="171" t="s">
        <v>40</v>
      </c>
      <c r="B32" s="38">
        <f>IF( ISERROR(IND_voed_ele_kWh/1000),0,IND_voed_ele_kWh/1000)</f>
        <v>2789.7160872220097</v>
      </c>
      <c r="C32" s="40">
        <f>IF(ISERROR(B32*3.6/1000000/'E Balans VL '!Z20*100),0,B32*3.6/1000000/'E Balans VL '!Z20*100)</f>
        <v>9.8610829613054549E-2</v>
      </c>
      <c r="D32" s="236" t="s">
        <v>660</v>
      </c>
    </row>
    <row r="33" spans="1:5">
      <c r="A33" s="171" t="s">
        <v>39</v>
      </c>
      <c r="B33" s="38">
        <f>IF( ISERROR(IND_textiel_ele_kWh/1000),0,IND_textiel_ele_kWh/1000)</f>
        <v>93.721602831049893</v>
      </c>
      <c r="C33" s="40">
        <f>IF(ISERROR(B33*3.6/1000000/'E Balans VL '!Z21*100),0,B33*3.6/1000000/'E Balans VL '!Z21*100)</f>
        <v>1.2658524587994614E-2</v>
      </c>
      <c r="D33" s="236" t="s">
        <v>660</v>
      </c>
    </row>
    <row r="34" spans="1:5">
      <c r="A34" s="171" t="s">
        <v>36</v>
      </c>
      <c r="B34" s="38">
        <f>IF( ISERROR(IND_min_ele_kWh/1000),0,IND_min_ele_kWh/1000)</f>
        <v>126.16304633456501</v>
      </c>
      <c r="C34" s="40">
        <f>IF(ISERROR(B34*3.6/1000000/'E Balans VL '!Z22*100),0,B34*3.6/1000000/'E Balans VL '!Z22*100)</f>
        <v>2.5355214635533876E-2</v>
      </c>
      <c r="D34" s="236" t="s">
        <v>660</v>
      </c>
    </row>
    <row r="35" spans="1:5">
      <c r="A35" s="171" t="s">
        <v>38</v>
      </c>
      <c r="B35" s="38">
        <f>IF( ISERROR(IND_papier_ele_kWh/1000),0,IND_papier_ele_kWh/1000)</f>
        <v>5473.0182132182699</v>
      </c>
      <c r="C35" s="40">
        <f>IF(ISERROR(B35*3.6/1000000/'E Balans VL '!Z22*100),0,B35*3.6/1000000/'E Balans VL '!Z22*100)</f>
        <v>1.0999223269572915</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144799.87255792299</v>
      </c>
      <c r="C37" s="40">
        <f>IF(ISERROR(B37*3.6/1000000/'E Balans VL '!Z15*100),0,B37*3.6/1000000/'E Balans VL '!Z15*100)</f>
        <v>1.0934529395692341</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1422.1261306212609</v>
      </c>
      <c r="C5" s="18">
        <f>'Eigen informatie GS &amp; warmtenet'!B60</f>
        <v>0</v>
      </c>
      <c r="D5" s="31">
        <f>IF(ISERROR(SUM(LB_lb_gas_kWh,LB_rest_gas_kWh)/1000),0,SUM(LB_lb_gas_kWh,LB_rest_gas_kWh)/1000)*0.902</f>
        <v>1348.0280501905204</v>
      </c>
      <c r="E5" s="18">
        <f>B17*'E Balans VL '!I25/3.6*1000000/100</f>
        <v>14.043754378795533</v>
      </c>
      <c r="F5" s="18">
        <f>B17*('E Balans VL '!L25/3.6*1000000+'E Balans VL '!N25/3.6*1000000)/100</f>
        <v>4744.5890634384341</v>
      </c>
      <c r="G5" s="19"/>
      <c r="H5" s="18"/>
      <c r="I5" s="18"/>
      <c r="J5" s="18">
        <f>('E Balans VL '!D25+'E Balans VL '!E25)/3.6*1000000*landbouw!B17/100</f>
        <v>141.88502324535904</v>
      </c>
      <c r="K5" s="18"/>
      <c r="L5" s="18">
        <f>L6*(-1)</f>
        <v>0</v>
      </c>
      <c r="M5" s="18"/>
      <c r="N5" s="18">
        <f>N6*(-1)</f>
        <v>0</v>
      </c>
      <c r="O5" s="18"/>
      <c r="P5" s="18"/>
      <c r="R5" s="33"/>
    </row>
    <row r="6" spans="1:18">
      <c r="A6" s="17" t="s">
        <v>488</v>
      </c>
      <c r="B6" s="18" t="s">
        <v>204</v>
      </c>
      <c r="C6" s="18">
        <f>'lokale energieproductie'!O39+'lokale energieproductie'!O32</f>
        <v>2.0454545454545454</v>
      </c>
      <c r="D6" s="305">
        <f>('lokale energieproductie'!P32+'lokale energieproductie'!P39)*(-1)</f>
        <v>-2.7272727272727275</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1422.1261306212609</v>
      </c>
      <c r="C8" s="22">
        <f>C5+C6</f>
        <v>2.0454545454545454</v>
      </c>
      <c r="D8" s="22">
        <f>MAX((D5+D6),0)</f>
        <v>1345.3007774632476</v>
      </c>
      <c r="E8" s="22">
        <f>MAX((E5+E6),0)</f>
        <v>14.043754378795533</v>
      </c>
      <c r="F8" s="22">
        <f>MAX((F5+F6),0)</f>
        <v>4744.5890634384341</v>
      </c>
      <c r="G8" s="22"/>
      <c r="H8" s="22"/>
      <c r="I8" s="22"/>
      <c r="J8" s="22">
        <f>MAX((J5+J6),0)</f>
        <v>141.88502324535904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0.21258491613366251</v>
      </c>
      <c r="C10" s="32">
        <f ca="1">'EF ele_warmte'!B22</f>
        <v>0.22444444444444447</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302.32256420961073</v>
      </c>
      <c r="C12" s="24">
        <f ca="1">C8*C10</f>
        <v>0.45909090909090916</v>
      </c>
      <c r="D12" s="24">
        <f>D8*D10</f>
        <v>271.75075704757603</v>
      </c>
      <c r="E12" s="24">
        <f>E8*E10</f>
        <v>3.187932243986586</v>
      </c>
      <c r="F12" s="24">
        <f>F8*F10</f>
        <v>1266.8052799380621</v>
      </c>
      <c r="G12" s="24"/>
      <c r="H12" s="24"/>
      <c r="I12" s="24"/>
      <c r="J12" s="24">
        <f>J8*J10</f>
        <v>50.227298228857094</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0.19253315323699594</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101.35233815582161</v>
      </c>
      <c r="C26" s="246">
        <f>B26*'GWP N2O_CH4'!B5</f>
        <v>2128.399101272254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11.8554692858563</v>
      </c>
      <c r="C27" s="246">
        <f>B27*'GWP N2O_CH4'!B5</f>
        <v>248.96485500298229</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1.5755876730225329</v>
      </c>
      <c r="C28" s="246">
        <f>B28*'GWP N2O_CH4'!B4</f>
        <v>488.43217863698521</v>
      </c>
      <c r="D28" s="51"/>
    </row>
    <row r="29" spans="1:4">
      <c r="A29" s="42" t="s">
        <v>266</v>
      </c>
      <c r="B29" s="246">
        <f>B34*'ha_N2O bodem landbouw'!B4</f>
        <v>10.639138803636961</v>
      </c>
      <c r="C29" s="246">
        <f>B29*'GWP N2O_CH4'!B4</f>
        <v>3298.1330291274576</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2.8722325540535107E-3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9.175514445367586E-5</v>
      </c>
      <c r="C5" s="433" t="s">
        <v>204</v>
      </c>
      <c r="D5" s="418">
        <f>SUM(D6:D11)</f>
        <v>1.0543166009532946E-4</v>
      </c>
      <c r="E5" s="418">
        <f>SUM(E6:E11)</f>
        <v>7.65181110985526E-3</v>
      </c>
      <c r="F5" s="431" t="s">
        <v>204</v>
      </c>
      <c r="G5" s="418">
        <f>SUM(G6:G11)</f>
        <v>1.6931008154733451</v>
      </c>
      <c r="H5" s="418">
        <f>SUM(H6:H11)</f>
        <v>0.27825691634649896</v>
      </c>
      <c r="I5" s="433" t="s">
        <v>204</v>
      </c>
      <c r="J5" s="433" t="s">
        <v>204</v>
      </c>
      <c r="K5" s="433" t="s">
        <v>204</v>
      </c>
      <c r="L5" s="433" t="s">
        <v>204</v>
      </c>
      <c r="M5" s="418">
        <f>SUM(M6:M11)</f>
        <v>8.8081306438742582E-2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3.0084139347691764E-5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3.4892128703515948E-5</v>
      </c>
      <c r="E6" s="421">
        <f>vkm_GW_PW*SUMIFS(TableVerdeelsleutelVkm[LPG],TableVerdeelsleutelVkm[Voertuigtype],"Lichte voertuigen")*SUMIFS(TableECFTransport[EnergieConsumptieFactor (PJ per km)],TableECFTransport[Index],CONCATENATE($A6,"_LPG_LPG"))</f>
        <v>2.2584392599044054E-3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0.35609205896001184</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9.0042611835660577E-2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1.9969017688080529E-2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8.2468352520033682E-7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0.1364199126590839</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4.2515221575549062E-6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6.0702681529594309E-3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7.3486051803914529E-6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1.3890836852910537E-5</v>
      </c>
      <c r="E8" s="421">
        <f>vkm_NGW_PW*SUMIFS(TableVerdeelsleutelVkm[LPG],TableVerdeelsleutelVkm[Voertuigtype],"Lichte voertuigen")*SUMIFS(TableECFTransport[EnergieConsumptieFactor (PJ per km)],TableECFTransport[Index],CONCATENATE($A8,"_LPG_LPG"))</f>
        <v>8.4971859556895316E-4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0.12668042695960635</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3.4117972405269065E-2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7.1995286841526869E-3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6.926348039078901E-8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1.4692638175100277E-2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4.3100060997324045E-7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6.5377615184567482E-4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5.0862228904355027E-5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5.664869453890297E-5</v>
      </c>
      <c r="E10" s="421">
        <f>vkm_SW_PW*SUMIFS(TableVerdeelsleutelVkm[LPG],TableVerdeelsleutelVkm[Voertuigtype],"Lichte voertuigen")*SUMIFS(TableECFTransport[EnergieConsumptieFactor (PJ per km)],TableECFTransport[Index],CONCATENATE($A10,"_LPG_LPG"))</f>
        <v>4.5436532543819009E-3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0.66157312916985467</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0.15407803256101182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3.6494780055765418E-2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2.566224015646492E-6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0.39764264954968803</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1.361702178995809E-5</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1.769393570593884E-2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25.487540126021074</v>
      </c>
      <c r="C14" s="22"/>
      <c r="D14" s="22">
        <f t="shared" ref="D14:M14" si="0">((D5)*10^9/3600)+D12</f>
        <v>29.286572248702626</v>
      </c>
      <c r="E14" s="22">
        <f t="shared" si="0"/>
        <v>2125.5030860709053</v>
      </c>
      <c r="F14" s="22"/>
      <c r="G14" s="22">
        <f t="shared" si="0"/>
        <v>470305.78207592916</v>
      </c>
      <c r="H14" s="22">
        <f t="shared" si="0"/>
        <v>77293.587874027493</v>
      </c>
      <c r="I14" s="22"/>
      <c r="J14" s="22"/>
      <c r="K14" s="22"/>
      <c r="L14" s="22"/>
      <c r="M14" s="22">
        <f t="shared" si="0"/>
        <v>24467.029566317382</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0.21258491613366251</v>
      </c>
      <c r="C16" s="57">
        <f ca="1">'EF ele_warmte'!B22</f>
        <v>0.22444444444444447</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5.4182665801435483</v>
      </c>
      <c r="C18" s="24"/>
      <c r="D18" s="24">
        <f t="shared" ref="D18:M18" si="1">D14*D16</f>
        <v>5.9158875942379305</v>
      </c>
      <c r="E18" s="24">
        <f t="shared" si="1"/>
        <v>482.48920053809553</v>
      </c>
      <c r="F18" s="24"/>
      <c r="G18" s="24">
        <f t="shared" si="1"/>
        <v>125571.64381427309</v>
      </c>
      <c r="H18" s="24">
        <f t="shared" si="1"/>
        <v>19246.103380632845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2.0819439349360587E-4</v>
      </c>
      <c r="C50" s="316">
        <f t="shared" ref="C50:P50" si="2">SUM(C51:C52)</f>
        <v>0</v>
      </c>
      <c r="D50" s="316">
        <f t="shared" si="2"/>
        <v>0</v>
      </c>
      <c r="E50" s="316">
        <f t="shared" si="2"/>
        <v>0</v>
      </c>
      <c r="F50" s="316">
        <f t="shared" si="2"/>
        <v>0</v>
      </c>
      <c r="G50" s="316">
        <f t="shared" si="2"/>
        <v>4.1524783401302556E-2</v>
      </c>
      <c r="H50" s="316">
        <f t="shared" si="2"/>
        <v>0</v>
      </c>
      <c r="I50" s="316">
        <f t="shared" si="2"/>
        <v>0</v>
      </c>
      <c r="J50" s="316">
        <f t="shared" si="2"/>
        <v>0</v>
      </c>
      <c r="K50" s="316">
        <f t="shared" si="2"/>
        <v>0</v>
      </c>
      <c r="L50" s="316">
        <f t="shared" si="2"/>
        <v>0</v>
      </c>
      <c r="M50" s="316">
        <f t="shared" si="2"/>
        <v>1.835351200660778E-3</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2.0819439349360587E-4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4.1524783401302556E-2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1.835351200660778E-3</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57.831775970446074</v>
      </c>
      <c r="C54" s="22">
        <f t="shared" ref="C54:P54" si="3">(C50)*10^9/3600</f>
        <v>0</v>
      </c>
      <c r="D54" s="22">
        <f t="shared" si="3"/>
        <v>0</v>
      </c>
      <c r="E54" s="22">
        <f t="shared" si="3"/>
        <v>0</v>
      </c>
      <c r="F54" s="22">
        <f t="shared" si="3"/>
        <v>0</v>
      </c>
      <c r="G54" s="22">
        <f t="shared" si="3"/>
        <v>11534.662055917375</v>
      </c>
      <c r="H54" s="22">
        <f t="shared" si="3"/>
        <v>0</v>
      </c>
      <c r="I54" s="22">
        <f t="shared" si="3"/>
        <v>0</v>
      </c>
      <c r="J54" s="22">
        <f t="shared" si="3"/>
        <v>0</v>
      </c>
      <c r="K54" s="22">
        <f t="shared" si="3"/>
        <v>0</v>
      </c>
      <c r="L54" s="22">
        <f t="shared" si="3"/>
        <v>0</v>
      </c>
      <c r="M54" s="22">
        <f t="shared" si="3"/>
        <v>509.81977796132719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0.21258491613366251</v>
      </c>
      <c r="C56" s="57">
        <f ca="1">'EF ele_warmte'!B22</f>
        <v>0.22444444444444447</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12.294163244538037</v>
      </c>
      <c r="C58" s="24">
        <f t="shared" ref="C58:P58" ca="1" si="4">C54*C56</f>
        <v>0</v>
      </c>
      <c r="D58" s="24">
        <f t="shared" si="4"/>
        <v>0</v>
      </c>
      <c r="E58" s="24">
        <f t="shared" si="4"/>
        <v>0</v>
      </c>
      <c r="F58" s="24">
        <f t="shared" si="4"/>
        <v>0</v>
      </c>
      <c r="G58" s="24">
        <f t="shared" si="4"/>
        <v>3079.7547689299395</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315</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10314.551170332139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0.40909090909090912</v>
      </c>
      <c r="C8" s="544">
        <f>B48</f>
        <v>0.45454545454545464</v>
      </c>
      <c r="D8" s="931"/>
      <c r="E8" s="931">
        <f>E48</f>
        <v>0</v>
      </c>
      <c r="F8" s="932"/>
      <c r="G8" s="545"/>
      <c r="H8" s="931">
        <f>I48</f>
        <v>0</v>
      </c>
      <c r="I8" s="931">
        <f>G48+F48</f>
        <v>0</v>
      </c>
      <c r="J8" s="931">
        <f>H48+D48+C48</f>
        <v>0</v>
      </c>
      <c r="K8" s="931"/>
      <c r="L8" s="931"/>
      <c r="M8" s="931"/>
      <c r="N8" s="546"/>
      <c r="O8" s="547">
        <f>C8*$C$12+D8*$D$12+E8*$E$12+F8*$F$12+G8*$G$12+H8*$H$12+I8*$I$12+J8*$J$12</f>
        <v>9.181818181818184E-2</v>
      </c>
      <c r="P8" s="1206"/>
      <c r="Q8" s="1207"/>
      <c r="S8" s="968"/>
      <c r="T8" s="1227"/>
      <c r="U8" s="1227"/>
    </row>
    <row r="9" spans="1:21" s="532" customFormat="1" ht="17.45" customHeight="1" thickBot="1">
      <c r="A9" s="548" t="s">
        <v>237</v>
      </c>
      <c r="B9" s="933">
        <f>N36+'Eigen informatie GS &amp; warmtenet'!B12</f>
        <v>9945</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28414.285714285717</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20574.960261241227</v>
      </c>
      <c r="C10" s="556">
        <f t="shared" ref="C10:L10" si="0">SUM(C8:C9)</f>
        <v>0.45454545454545464</v>
      </c>
      <c r="D10" s="556">
        <f t="shared" si="0"/>
        <v>0</v>
      </c>
      <c r="E10" s="556">
        <f t="shared" si="0"/>
        <v>0</v>
      </c>
      <c r="F10" s="556">
        <f t="shared" si="0"/>
        <v>0</v>
      </c>
      <c r="G10" s="556">
        <f t="shared" si="0"/>
        <v>0</v>
      </c>
      <c r="H10" s="556">
        <f t="shared" si="0"/>
        <v>0</v>
      </c>
      <c r="I10" s="556">
        <f t="shared" si="0"/>
        <v>0</v>
      </c>
      <c r="J10" s="556">
        <f t="shared" si="0"/>
        <v>28414.285714285717</v>
      </c>
      <c r="K10" s="556">
        <f t="shared" si="0"/>
        <v>0</v>
      </c>
      <c r="L10" s="556">
        <f t="shared" si="0"/>
        <v>0</v>
      </c>
      <c r="M10" s="935"/>
      <c r="N10" s="935"/>
      <c r="O10" s="557">
        <f>SUM(O4:O9)</f>
        <v>9.181818181818184E-2</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2.0454545454545454</v>
      </c>
      <c r="C17" s="568">
        <f>B49</f>
        <v>2.2727272727272729</v>
      </c>
      <c r="D17" s="569"/>
      <c r="E17" s="569">
        <f>E49</f>
        <v>0</v>
      </c>
      <c r="F17" s="570"/>
      <c r="G17" s="571"/>
      <c r="H17" s="568">
        <f>I49</f>
        <v>0</v>
      </c>
      <c r="I17" s="569">
        <f>G49+F49</f>
        <v>0</v>
      </c>
      <c r="J17" s="569">
        <f>H49+D49+C49</f>
        <v>0</v>
      </c>
      <c r="K17" s="569"/>
      <c r="L17" s="569"/>
      <c r="M17" s="569"/>
      <c r="N17" s="938"/>
      <c r="O17" s="572">
        <f>C17*$C$22+E17*$E$22+H17*$H$22+I17*$I$22+J17*$J$22+D17*$D$22+F17*$F$22+G17*$G$22+K17*$K$22+L17*$L$22</f>
        <v>0.45909090909090916</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2.0454545454545454</v>
      </c>
      <c r="C20" s="555">
        <f>SUM(C17:C19)</f>
        <v>2.2727272727272729</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0.45909090909090916</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v>12025</v>
      </c>
      <c r="C28" s="740">
        <v>2800</v>
      </c>
      <c r="D28" s="628"/>
      <c r="E28" s="627"/>
      <c r="F28" s="627"/>
      <c r="G28" s="627" t="s">
        <v>942</v>
      </c>
      <c r="H28" s="627" t="s">
        <v>942</v>
      </c>
      <c r="I28" s="627"/>
      <c r="J28" s="739"/>
      <c r="K28" s="739"/>
      <c r="L28" s="627" t="s">
        <v>943</v>
      </c>
      <c r="M28" s="627">
        <v>1</v>
      </c>
      <c r="N28" s="627">
        <v>0.40909090909090912</v>
      </c>
      <c r="O28" s="627">
        <v>2.0454545454545454</v>
      </c>
      <c r="P28" s="627">
        <v>2.7272727272727275</v>
      </c>
      <c r="Q28" s="627">
        <v>0</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1</v>
      </c>
      <c r="N29" s="585">
        <f>SUM(N28:N28)</f>
        <v>0.40909090909090912</v>
      </c>
      <c r="O29" s="585">
        <f>SUM(O28:O28)</f>
        <v>2.0454545454545454</v>
      </c>
      <c r="P29" s="585">
        <f>SUM(P28:P28)</f>
        <v>2.7272727272727275</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1</v>
      </c>
      <c r="N32" s="590">
        <f>SUMIF($AA$28:$AA$28,"landbouw",N28:N28)</f>
        <v>0.40909090909090912</v>
      </c>
      <c r="O32" s="590">
        <f>SUMIF($AA$28:$AA$28,"landbouw",O28:O28)</f>
        <v>2.0454545454545454</v>
      </c>
      <c r="P32" s="590">
        <f>SUMIF($AA$28:$AA$28,"landbouw",P28:P28)</f>
        <v>2.7272727272727275</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63.75" hidden="1">
      <c r="A35" s="582"/>
      <c r="B35" s="740">
        <v>12025</v>
      </c>
      <c r="C35" s="740">
        <v>2800</v>
      </c>
      <c r="D35" s="630"/>
      <c r="E35" s="630"/>
      <c r="F35" s="630"/>
      <c r="G35" s="630" t="s">
        <v>944</v>
      </c>
      <c r="H35" s="630" t="s">
        <v>945</v>
      </c>
      <c r="I35" s="630"/>
      <c r="J35" s="739"/>
      <c r="K35" s="739"/>
      <c r="L35" s="630" t="s">
        <v>946</v>
      </c>
      <c r="M35" s="630">
        <v>2210</v>
      </c>
      <c r="N35" s="630">
        <v>9945</v>
      </c>
      <c r="O35" s="630">
        <v>0</v>
      </c>
      <c r="P35" s="630">
        <v>0</v>
      </c>
      <c r="Q35" s="630">
        <v>0</v>
      </c>
      <c r="R35" s="630">
        <v>28414.285714285717</v>
      </c>
      <c r="S35" s="630">
        <v>0</v>
      </c>
      <c r="T35" s="630">
        <v>0</v>
      </c>
      <c r="U35" s="630">
        <v>0</v>
      </c>
      <c r="V35" s="630">
        <v>0</v>
      </c>
      <c r="W35" s="630"/>
      <c r="X35" s="630"/>
      <c r="Y35" s="630">
        <v>1600</v>
      </c>
      <c r="Z35" s="630" t="s">
        <v>49</v>
      </c>
      <c r="AA35" s="631" t="s">
        <v>149</v>
      </c>
    </row>
    <row r="36" spans="1:28" s="563" customFormat="1" hidden="1">
      <c r="A36" s="583" t="s">
        <v>269</v>
      </c>
      <c r="B36" s="584"/>
      <c r="C36" s="584"/>
      <c r="D36" s="584"/>
      <c r="E36" s="584"/>
      <c r="F36" s="584"/>
      <c r="G36" s="584"/>
      <c r="H36" s="584"/>
      <c r="I36" s="584"/>
      <c r="J36" s="584"/>
      <c r="K36" s="584"/>
      <c r="L36" s="585"/>
      <c r="M36" s="585">
        <f>SUM(M35:M35)</f>
        <v>2210</v>
      </c>
      <c r="N36" s="585">
        <f>SUM(N35:N35)</f>
        <v>9945</v>
      </c>
      <c r="O36" s="585">
        <f>SUM(O35:O35)</f>
        <v>0</v>
      </c>
      <c r="P36" s="585">
        <f>SUM(P35:P35)</f>
        <v>0</v>
      </c>
      <c r="Q36" s="585">
        <f>SUM(Q35:Q35)</f>
        <v>0</v>
      </c>
      <c r="R36" s="585">
        <f>SUM(R35:R35)</f>
        <v>28414.285714285717</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2210</v>
      </c>
      <c r="N38" s="585">
        <f>SUMIF($AA$35:$AA$36,"tertiair",N35:N36)</f>
        <v>9945</v>
      </c>
      <c r="O38" s="585">
        <f>SUMIF($AA$35:$AA$36,"tertiair",O35:O36)</f>
        <v>0</v>
      </c>
      <c r="P38" s="585">
        <f>SUMIF($AA$35:$AA$36,"tertiair",P35:P36)</f>
        <v>0</v>
      </c>
      <c r="Q38" s="585">
        <f>SUMIF($AA$35:$AA$36,"tertiair",Q35:Q36)</f>
        <v>0</v>
      </c>
      <c r="R38" s="585">
        <f>SUMIF($AA$35:$AA$36,"tertiair",R35:R36)</f>
        <v>28414.285714285717</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0.83333333333333326</v>
      </c>
      <c r="C45" s="610">
        <f>IF(ISERROR(N29/(O29+N29)),0,N29/(N29+O29))</f>
        <v>0.16666666666666669</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0.45454545454545464</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2.2727272727272729</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221299.97613918409</v>
      </c>
      <c r="D10" s="639">
        <f ca="1">tertiair!C16</f>
        <v>0</v>
      </c>
      <c r="E10" s="639">
        <f ca="1">tertiair!D16</f>
        <v>222414.68180787622</v>
      </c>
      <c r="F10" s="639">
        <f>tertiair!E16</f>
        <v>1284.710552272827</v>
      </c>
      <c r="G10" s="639">
        <f ca="1">tertiair!F16</f>
        <v>37103.162651938997</v>
      </c>
      <c r="H10" s="639">
        <f>tertiair!G16</f>
        <v>0</v>
      </c>
      <c r="I10" s="639">
        <f>tertiair!H16</f>
        <v>0</v>
      </c>
      <c r="J10" s="639">
        <f>tertiair!I16</f>
        <v>0</v>
      </c>
      <c r="K10" s="639">
        <f>tertiair!J16</f>
        <v>0</v>
      </c>
      <c r="L10" s="639">
        <f>tertiair!K16</f>
        <v>0</v>
      </c>
      <c r="M10" s="639">
        <f ca="1">tertiair!L16</f>
        <v>0</v>
      </c>
      <c r="N10" s="639">
        <f>tertiair!M16</f>
        <v>0</v>
      </c>
      <c r="O10" s="639">
        <f ca="1">tertiair!N16</f>
        <v>0</v>
      </c>
      <c r="P10" s="639">
        <f>tertiair!O16</f>
        <v>1.5633333333333335</v>
      </c>
      <c r="Q10" s="640">
        <f>tertiair!P16</f>
        <v>114.4</v>
      </c>
      <c r="R10" s="642">
        <f ca="1">SUM(C10:Q10)</f>
        <v>482218.4944846055</v>
      </c>
      <c r="S10" s="68"/>
    </row>
    <row r="11" spans="1:19" s="443" customFormat="1">
      <c r="A11" s="753" t="s">
        <v>214</v>
      </c>
      <c r="B11" s="758"/>
      <c r="C11" s="639">
        <f>huishoudens!B8</f>
        <v>119104.49184056326</v>
      </c>
      <c r="D11" s="639">
        <f>huishoudens!C8</f>
        <v>0</v>
      </c>
      <c r="E11" s="639">
        <f>huishoudens!D8</f>
        <v>411783.2465173169</v>
      </c>
      <c r="F11" s="639">
        <f>huishoudens!E8</f>
        <v>4075.7745275325415</v>
      </c>
      <c r="G11" s="639">
        <f>huishoudens!F8</f>
        <v>124258.53216514841</v>
      </c>
      <c r="H11" s="639">
        <f>huishoudens!G8</f>
        <v>0</v>
      </c>
      <c r="I11" s="639">
        <f>huishoudens!H8</f>
        <v>0</v>
      </c>
      <c r="J11" s="639">
        <f>huishoudens!I8</f>
        <v>0</v>
      </c>
      <c r="K11" s="639">
        <f>huishoudens!J8</f>
        <v>2254.6277687687516</v>
      </c>
      <c r="L11" s="639">
        <f>huishoudens!K8</f>
        <v>0</v>
      </c>
      <c r="M11" s="639">
        <f>huishoudens!L8</f>
        <v>0</v>
      </c>
      <c r="N11" s="639">
        <f>huishoudens!M8</f>
        <v>0</v>
      </c>
      <c r="O11" s="639">
        <f>huishoudens!N8</f>
        <v>47389.331342799545</v>
      </c>
      <c r="P11" s="639">
        <f>huishoudens!O8</f>
        <v>232.9366666666667</v>
      </c>
      <c r="Q11" s="640">
        <f>huishoudens!P8</f>
        <v>400.4</v>
      </c>
      <c r="R11" s="642">
        <f>SUM(C11:Q11)</f>
        <v>709499.34082879603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191961.24600148655</v>
      </c>
      <c r="D13" s="639">
        <f>industrie!C18</f>
        <v>0</v>
      </c>
      <c r="E13" s="639">
        <f>industrie!D18</f>
        <v>297088.10718978802</v>
      </c>
      <c r="F13" s="639">
        <f>industrie!E18</f>
        <v>1851.4178684566282</v>
      </c>
      <c r="G13" s="639">
        <f>industrie!F18</f>
        <v>38693.582301329312</v>
      </c>
      <c r="H13" s="639">
        <f>industrie!G18</f>
        <v>0</v>
      </c>
      <c r="I13" s="639">
        <f>industrie!H18</f>
        <v>0</v>
      </c>
      <c r="J13" s="639">
        <f>industrie!I18</f>
        <v>0</v>
      </c>
      <c r="K13" s="639">
        <f>industrie!J18</f>
        <v>1269.2861052135436</v>
      </c>
      <c r="L13" s="639">
        <f>industrie!K18</f>
        <v>0</v>
      </c>
      <c r="M13" s="639">
        <f>industrie!L18</f>
        <v>0</v>
      </c>
      <c r="N13" s="639">
        <f>industrie!M18</f>
        <v>0</v>
      </c>
      <c r="O13" s="639">
        <f>industrie!N18</f>
        <v>7051.1061443559502</v>
      </c>
      <c r="P13" s="639">
        <f>industrie!O18</f>
        <v>0</v>
      </c>
      <c r="Q13" s="640">
        <f>industrie!P18</f>
        <v>0</v>
      </c>
      <c r="R13" s="642">
        <f>SUM(C13:Q13)</f>
        <v>537914.74561063002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532365.71398123389</v>
      </c>
      <c r="D16" s="672">
        <f t="shared" ref="D16:R16" ca="1" si="0">SUM(D9:D15)</f>
        <v>0</v>
      </c>
      <c r="E16" s="672">
        <f t="shared" ca="1" si="0"/>
        <v>931286.03551498114</v>
      </c>
      <c r="F16" s="672">
        <f t="shared" si="0"/>
        <v>7211.9029482619972</v>
      </c>
      <c r="G16" s="672">
        <f t="shared" ca="1" si="0"/>
        <v>200055.27711841674</v>
      </c>
      <c r="H16" s="672">
        <f t="shared" si="0"/>
        <v>0</v>
      </c>
      <c r="I16" s="672">
        <f t="shared" si="0"/>
        <v>0</v>
      </c>
      <c r="J16" s="672">
        <f t="shared" si="0"/>
        <v>0</v>
      </c>
      <c r="K16" s="672">
        <f t="shared" si="0"/>
        <v>3523.9138739822952</v>
      </c>
      <c r="L16" s="672">
        <f t="shared" si="0"/>
        <v>0</v>
      </c>
      <c r="M16" s="672">
        <f t="shared" ca="1" si="0"/>
        <v>0</v>
      </c>
      <c r="N16" s="672">
        <f t="shared" si="0"/>
        <v>0</v>
      </c>
      <c r="O16" s="672">
        <f t="shared" ca="1" si="0"/>
        <v>54440.437487155497</v>
      </c>
      <c r="P16" s="672">
        <f t="shared" si="0"/>
        <v>234.50000000000003</v>
      </c>
      <c r="Q16" s="672">
        <f t="shared" si="0"/>
        <v>514.79999999999995</v>
      </c>
      <c r="R16" s="672">
        <f t="shared" ca="1" si="0"/>
        <v>1729632.5809240318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57.831775970446074</v>
      </c>
      <c r="D19" s="639">
        <f>transport!C54</f>
        <v>0</v>
      </c>
      <c r="E19" s="639">
        <f>transport!D54</f>
        <v>0</v>
      </c>
      <c r="F19" s="639">
        <f>transport!E54</f>
        <v>0</v>
      </c>
      <c r="G19" s="639">
        <f>transport!F54</f>
        <v>0</v>
      </c>
      <c r="H19" s="639">
        <f>transport!G54</f>
        <v>11534.662055917375</v>
      </c>
      <c r="I19" s="639">
        <f>transport!H54</f>
        <v>0</v>
      </c>
      <c r="J19" s="639">
        <f>transport!I54</f>
        <v>0</v>
      </c>
      <c r="K19" s="639">
        <f>transport!J54</f>
        <v>0</v>
      </c>
      <c r="L19" s="639">
        <f>transport!K54</f>
        <v>0</v>
      </c>
      <c r="M19" s="639">
        <f>transport!L54</f>
        <v>0</v>
      </c>
      <c r="N19" s="639">
        <f>transport!M54</f>
        <v>509.81977796132719</v>
      </c>
      <c r="O19" s="639">
        <f>transport!N54</f>
        <v>0</v>
      </c>
      <c r="P19" s="639">
        <f>transport!O54</f>
        <v>0</v>
      </c>
      <c r="Q19" s="640">
        <f>transport!P54</f>
        <v>0</v>
      </c>
      <c r="R19" s="642">
        <f>SUM(C19:Q19)</f>
        <v>12102.313609849149</v>
      </c>
      <c r="S19" s="68"/>
    </row>
    <row r="20" spans="1:19" s="443" customFormat="1">
      <c r="A20" s="753" t="s">
        <v>296</v>
      </c>
      <c r="B20" s="758"/>
      <c r="C20" s="639">
        <f>transport!B14</f>
        <v>25.487540126021074</v>
      </c>
      <c r="D20" s="639">
        <f>transport!C14</f>
        <v>0</v>
      </c>
      <c r="E20" s="639">
        <f>transport!D14</f>
        <v>29.286572248702626</v>
      </c>
      <c r="F20" s="639">
        <f>transport!E14</f>
        <v>2125.5030860709053</v>
      </c>
      <c r="G20" s="639">
        <f>transport!F14</f>
        <v>0</v>
      </c>
      <c r="H20" s="639">
        <f>transport!G14</f>
        <v>470305.78207592916</v>
      </c>
      <c r="I20" s="639">
        <f>transport!H14</f>
        <v>77293.587874027493</v>
      </c>
      <c r="J20" s="639">
        <f>transport!I14</f>
        <v>0</v>
      </c>
      <c r="K20" s="639">
        <f>transport!J14</f>
        <v>0</v>
      </c>
      <c r="L20" s="639">
        <f>transport!K14</f>
        <v>0</v>
      </c>
      <c r="M20" s="639">
        <f>transport!L14</f>
        <v>0</v>
      </c>
      <c r="N20" s="639">
        <f>transport!M14</f>
        <v>24467.029566317382</v>
      </c>
      <c r="O20" s="639">
        <f>transport!N14</f>
        <v>0</v>
      </c>
      <c r="P20" s="639">
        <f>transport!O14</f>
        <v>0</v>
      </c>
      <c r="Q20" s="640">
        <f>transport!P14</f>
        <v>0</v>
      </c>
      <c r="R20" s="642">
        <f>SUM(C20:Q20)</f>
        <v>574246.67671471962</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83.319316096467148</v>
      </c>
      <c r="D22" s="756">
        <f t="shared" ref="D22:R22" si="1">SUM(D18:D21)</f>
        <v>0</v>
      </c>
      <c r="E22" s="756">
        <f t="shared" si="1"/>
        <v>29.286572248702626</v>
      </c>
      <c r="F22" s="756">
        <f t="shared" si="1"/>
        <v>2125.5030860709053</v>
      </c>
      <c r="G22" s="756">
        <f t="shared" si="1"/>
        <v>0</v>
      </c>
      <c r="H22" s="756">
        <f t="shared" si="1"/>
        <v>481840.44413184654</v>
      </c>
      <c r="I22" s="756">
        <f t="shared" si="1"/>
        <v>77293.587874027493</v>
      </c>
      <c r="J22" s="756">
        <f t="shared" si="1"/>
        <v>0</v>
      </c>
      <c r="K22" s="756">
        <f t="shared" si="1"/>
        <v>0</v>
      </c>
      <c r="L22" s="756">
        <f t="shared" si="1"/>
        <v>0</v>
      </c>
      <c r="M22" s="756">
        <f t="shared" si="1"/>
        <v>0</v>
      </c>
      <c r="N22" s="756">
        <f t="shared" si="1"/>
        <v>24976.849344278708</v>
      </c>
      <c r="O22" s="756">
        <f t="shared" si="1"/>
        <v>0</v>
      </c>
      <c r="P22" s="756">
        <f t="shared" si="1"/>
        <v>0</v>
      </c>
      <c r="Q22" s="756">
        <f t="shared" si="1"/>
        <v>0</v>
      </c>
      <c r="R22" s="756">
        <f t="shared" si="1"/>
        <v>586348.99032456882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1422.1261306212609</v>
      </c>
      <c r="D24" s="639">
        <f>+landbouw!C8</f>
        <v>2.0454545454545454</v>
      </c>
      <c r="E24" s="639">
        <f>+landbouw!D8</f>
        <v>1345.3007774632476</v>
      </c>
      <c r="F24" s="639">
        <f>+landbouw!E8</f>
        <v>14.043754378795533</v>
      </c>
      <c r="G24" s="639">
        <f>+landbouw!F8</f>
        <v>4744.5890634384341</v>
      </c>
      <c r="H24" s="639">
        <f>+landbouw!G8</f>
        <v>0</v>
      </c>
      <c r="I24" s="639">
        <f>+landbouw!H8</f>
        <v>0</v>
      </c>
      <c r="J24" s="639">
        <f>+landbouw!I8</f>
        <v>0</v>
      </c>
      <c r="K24" s="639">
        <f>+landbouw!J8</f>
        <v>141.88502324535904</v>
      </c>
      <c r="L24" s="639">
        <f>+landbouw!K8</f>
        <v>0</v>
      </c>
      <c r="M24" s="639">
        <f>+landbouw!L8</f>
        <v>0</v>
      </c>
      <c r="N24" s="639">
        <f>+landbouw!M8</f>
        <v>0</v>
      </c>
      <c r="O24" s="639">
        <f>+landbouw!N8</f>
        <v>0</v>
      </c>
      <c r="P24" s="639">
        <f>+landbouw!O8</f>
        <v>0</v>
      </c>
      <c r="Q24" s="640">
        <f>+landbouw!P8</f>
        <v>0</v>
      </c>
      <c r="R24" s="642">
        <f>SUM(C24:Q24)</f>
        <v>7669.9902036925514</v>
      </c>
      <c r="S24" s="68"/>
    </row>
    <row r="25" spans="1:19" s="443" customFormat="1" ht="15" thickBot="1">
      <c r="A25" s="775" t="s">
        <v>847</v>
      </c>
      <c r="B25" s="941"/>
      <c r="C25" s="942">
        <f>IF(Onbekend_ele_kWh="---",0,Onbekend_ele_kWh)/1000+IF(REST_rest_ele_kWh="---",0,REST_rest_ele_kWh)/1000</f>
        <v>6465.0358821835098</v>
      </c>
      <c r="D25" s="942"/>
      <c r="E25" s="942">
        <f>IF(onbekend_gas_kWh="---",0,onbekend_gas_kWh)/1000+IF(REST_rest_gas_kWh="---",0,REST_rest_gas_kWh)/1000</f>
        <v>31963.997644987699</v>
      </c>
      <c r="F25" s="942"/>
      <c r="G25" s="942"/>
      <c r="H25" s="942"/>
      <c r="I25" s="942"/>
      <c r="J25" s="942"/>
      <c r="K25" s="942"/>
      <c r="L25" s="942"/>
      <c r="M25" s="942"/>
      <c r="N25" s="942"/>
      <c r="O25" s="942"/>
      <c r="P25" s="942"/>
      <c r="Q25" s="943"/>
      <c r="R25" s="642">
        <f>SUM(C25:Q25)</f>
        <v>38429.03352717121</v>
      </c>
      <c r="S25" s="68"/>
    </row>
    <row r="26" spans="1:19" s="443" customFormat="1" ht="15.75" thickBot="1">
      <c r="A26" s="645" t="s">
        <v>848</v>
      </c>
      <c r="B26" s="761"/>
      <c r="C26" s="756">
        <f>SUM(C24:C25)</f>
        <v>7887.1620128047707</v>
      </c>
      <c r="D26" s="756">
        <f t="shared" ref="D26:R26" si="2">SUM(D24:D25)</f>
        <v>2.0454545454545454</v>
      </c>
      <c r="E26" s="756">
        <f t="shared" si="2"/>
        <v>33309.298422450949</v>
      </c>
      <c r="F26" s="756">
        <f t="shared" si="2"/>
        <v>14.043754378795533</v>
      </c>
      <c r="G26" s="756">
        <f t="shared" si="2"/>
        <v>4744.5890634384341</v>
      </c>
      <c r="H26" s="756">
        <f t="shared" si="2"/>
        <v>0</v>
      </c>
      <c r="I26" s="756">
        <f t="shared" si="2"/>
        <v>0</v>
      </c>
      <c r="J26" s="756">
        <f t="shared" si="2"/>
        <v>0</v>
      </c>
      <c r="K26" s="756">
        <f t="shared" si="2"/>
        <v>141.88502324535904</v>
      </c>
      <c r="L26" s="756">
        <f t="shared" si="2"/>
        <v>0</v>
      </c>
      <c r="M26" s="756">
        <f t="shared" si="2"/>
        <v>0</v>
      </c>
      <c r="N26" s="756">
        <f t="shared" si="2"/>
        <v>0</v>
      </c>
      <c r="O26" s="756">
        <f t="shared" si="2"/>
        <v>0</v>
      </c>
      <c r="P26" s="756">
        <f t="shared" si="2"/>
        <v>0</v>
      </c>
      <c r="Q26" s="756">
        <f t="shared" si="2"/>
        <v>0</v>
      </c>
      <c r="R26" s="756">
        <f t="shared" si="2"/>
        <v>46099.023730863759</v>
      </c>
      <c r="S26" s="68"/>
    </row>
    <row r="27" spans="1:19" s="443" customFormat="1" ht="17.25" thickTop="1" thickBot="1">
      <c r="A27" s="646" t="s">
        <v>109</v>
      </c>
      <c r="B27" s="748"/>
      <c r="C27" s="647">
        <f ca="1">C22+C16+C26</f>
        <v>540336.19531013514</v>
      </c>
      <c r="D27" s="647">
        <f t="shared" ref="D27:R27" ca="1" si="3">D22+D16+D26</f>
        <v>2.0454545454545454</v>
      </c>
      <c r="E27" s="647">
        <f t="shared" ca="1" si="3"/>
        <v>964624.62050968071</v>
      </c>
      <c r="F27" s="647">
        <f t="shared" si="3"/>
        <v>9351.4497887116977</v>
      </c>
      <c r="G27" s="647">
        <f t="shared" ca="1" si="3"/>
        <v>204799.86618185518</v>
      </c>
      <c r="H27" s="647">
        <f t="shared" si="3"/>
        <v>481840.44413184654</v>
      </c>
      <c r="I27" s="647">
        <f t="shared" si="3"/>
        <v>77293.587874027493</v>
      </c>
      <c r="J27" s="647">
        <f t="shared" si="3"/>
        <v>0</v>
      </c>
      <c r="K27" s="647">
        <f t="shared" si="3"/>
        <v>3665.7988972276544</v>
      </c>
      <c r="L27" s="647">
        <f t="shared" si="3"/>
        <v>0</v>
      </c>
      <c r="M27" s="647">
        <f t="shared" ca="1" si="3"/>
        <v>0</v>
      </c>
      <c r="N27" s="647">
        <f t="shared" si="3"/>
        <v>24976.849344278708</v>
      </c>
      <c r="O27" s="647">
        <f t="shared" ca="1" si="3"/>
        <v>54440.437487155497</v>
      </c>
      <c r="P27" s="647">
        <f t="shared" si="3"/>
        <v>234.50000000000003</v>
      </c>
      <c r="Q27" s="647">
        <f t="shared" si="3"/>
        <v>514.79999999999995</v>
      </c>
      <c r="R27" s="647">
        <f t="shared" ca="1" si="3"/>
        <v>2362080.5949794645</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47045.036867929965</v>
      </c>
      <c r="D40" s="639">
        <f ca="1">tertiair!C20</f>
        <v>0</v>
      </c>
      <c r="E40" s="639">
        <f ca="1">tertiair!D20</f>
        <v>44927.765725190999</v>
      </c>
      <c r="F40" s="639">
        <f>tertiair!E20</f>
        <v>291.62929536593174</v>
      </c>
      <c r="G40" s="639">
        <f ca="1">tertiair!F20</f>
        <v>9906.5444280677129</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102170.9763165546</v>
      </c>
    </row>
    <row r="41" spans="1:18">
      <c r="A41" s="766" t="s">
        <v>214</v>
      </c>
      <c r="B41" s="773"/>
      <c r="C41" s="639">
        <f ca="1">huishoudens!B12</f>
        <v>25319.818409068634</v>
      </c>
      <c r="D41" s="639">
        <f ca="1">huishoudens!C12</f>
        <v>0</v>
      </c>
      <c r="E41" s="639">
        <f>huishoudens!D12</f>
        <v>83180.215796498014</v>
      </c>
      <c r="F41" s="639">
        <f>huishoudens!E12</f>
        <v>925.20081774988694</v>
      </c>
      <c r="G41" s="639">
        <f>huishoudens!F12</f>
        <v>33177.02808809463</v>
      </c>
      <c r="H41" s="639">
        <f>huishoudens!G12</f>
        <v>0</v>
      </c>
      <c r="I41" s="639">
        <f>huishoudens!H12</f>
        <v>0</v>
      </c>
      <c r="J41" s="639">
        <f>huishoudens!I12</f>
        <v>0</v>
      </c>
      <c r="K41" s="639">
        <f>huishoudens!J12</f>
        <v>798.13823014413799</v>
      </c>
      <c r="L41" s="639">
        <f>huishoudens!K12</f>
        <v>0</v>
      </c>
      <c r="M41" s="639">
        <f>huishoudens!L12</f>
        <v>0</v>
      </c>
      <c r="N41" s="639">
        <f>huishoudens!M12</f>
        <v>0</v>
      </c>
      <c r="O41" s="639">
        <f>huishoudens!N12</f>
        <v>0</v>
      </c>
      <c r="P41" s="639">
        <f>huishoudens!O12</f>
        <v>0</v>
      </c>
      <c r="Q41" s="714">
        <f>huishoudens!P12</f>
        <v>0</v>
      </c>
      <c r="R41" s="794">
        <f t="shared" ca="1" si="4"/>
        <v>143400.40134155532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40808.065382139379</v>
      </c>
      <c r="D43" s="639">
        <f ca="1">industrie!C22</f>
        <v>0</v>
      </c>
      <c r="E43" s="639">
        <f>industrie!D22</f>
        <v>60011.797652337184</v>
      </c>
      <c r="F43" s="639">
        <f>industrie!E22</f>
        <v>420.27185613965463</v>
      </c>
      <c r="G43" s="639">
        <f>industrie!F22</f>
        <v>10331.186474454928</v>
      </c>
      <c r="H43" s="639">
        <f>industrie!G22</f>
        <v>0</v>
      </c>
      <c r="I43" s="639">
        <f>industrie!H22</f>
        <v>0</v>
      </c>
      <c r="J43" s="639">
        <f>industrie!I22</f>
        <v>0</v>
      </c>
      <c r="K43" s="639">
        <f>industrie!J22</f>
        <v>449.32728124559441</v>
      </c>
      <c r="L43" s="639">
        <f>industrie!K22</f>
        <v>0</v>
      </c>
      <c r="M43" s="639">
        <f>industrie!L22</f>
        <v>0</v>
      </c>
      <c r="N43" s="639">
        <f>industrie!M22</f>
        <v>0</v>
      </c>
      <c r="O43" s="639">
        <f>industrie!N22</f>
        <v>0</v>
      </c>
      <c r="P43" s="639">
        <f>industrie!O22</f>
        <v>0</v>
      </c>
      <c r="Q43" s="714">
        <f>industrie!P22</f>
        <v>0</v>
      </c>
      <c r="R43" s="793">
        <f t="shared" ca="1" si="4"/>
        <v>112020.64864631674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113172.92065913798</v>
      </c>
      <c r="D46" s="672">
        <f t="shared" ref="D46:Q46" ca="1" si="5">SUM(D39:D45)</f>
        <v>0</v>
      </c>
      <c r="E46" s="672">
        <f t="shared" ca="1" si="5"/>
        <v>188119.77917402619</v>
      </c>
      <c r="F46" s="672">
        <f t="shared" si="5"/>
        <v>1637.1019692554733</v>
      </c>
      <c r="G46" s="672">
        <f t="shared" ca="1" si="5"/>
        <v>53414.758990617265</v>
      </c>
      <c r="H46" s="672">
        <f t="shared" si="5"/>
        <v>0</v>
      </c>
      <c r="I46" s="672">
        <f t="shared" si="5"/>
        <v>0</v>
      </c>
      <c r="J46" s="672">
        <f t="shared" si="5"/>
        <v>0</v>
      </c>
      <c r="K46" s="672">
        <f t="shared" si="5"/>
        <v>1247.4655113897325</v>
      </c>
      <c r="L46" s="672">
        <f t="shared" si="5"/>
        <v>0</v>
      </c>
      <c r="M46" s="672">
        <f t="shared" ca="1" si="5"/>
        <v>0</v>
      </c>
      <c r="N46" s="672">
        <f t="shared" si="5"/>
        <v>0</v>
      </c>
      <c r="O46" s="672">
        <f t="shared" ca="1" si="5"/>
        <v>0</v>
      </c>
      <c r="P46" s="672">
        <f t="shared" si="5"/>
        <v>0</v>
      </c>
      <c r="Q46" s="672">
        <f t="shared" si="5"/>
        <v>0</v>
      </c>
      <c r="R46" s="672">
        <f ca="1">SUM(R39:R45)</f>
        <v>357592.02630442666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12.294163244538037</v>
      </c>
      <c r="D49" s="639">
        <f ca="1">transport!C58</f>
        <v>0</v>
      </c>
      <c r="E49" s="639">
        <f>transport!D58</f>
        <v>0</v>
      </c>
      <c r="F49" s="639">
        <f>transport!E58</f>
        <v>0</v>
      </c>
      <c r="G49" s="639">
        <f>transport!F58</f>
        <v>0</v>
      </c>
      <c r="H49" s="639">
        <f>transport!G58</f>
        <v>3079.7547689299395</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3092.0489321744776</v>
      </c>
    </row>
    <row r="50" spans="1:18">
      <c r="A50" s="769" t="s">
        <v>296</v>
      </c>
      <c r="B50" s="779"/>
      <c r="C50" s="948">
        <f ca="1">transport!B18</f>
        <v>5.4182665801435483</v>
      </c>
      <c r="D50" s="948">
        <f>transport!C18</f>
        <v>0</v>
      </c>
      <c r="E50" s="948">
        <f>transport!D18</f>
        <v>5.9158875942379305</v>
      </c>
      <c r="F50" s="948">
        <f>transport!E18</f>
        <v>482.48920053809553</v>
      </c>
      <c r="G50" s="948">
        <f>transport!F18</f>
        <v>0</v>
      </c>
      <c r="H50" s="948">
        <f>transport!G18</f>
        <v>125571.64381427309</v>
      </c>
      <c r="I50" s="948">
        <f>transport!H18</f>
        <v>19246.103380632845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145311.57054961842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17.712429824681585</v>
      </c>
      <c r="D52" s="672">
        <f t="shared" ref="D52:Q52" ca="1" si="6">SUM(D48:D51)</f>
        <v>0</v>
      </c>
      <c r="E52" s="672">
        <f t="shared" si="6"/>
        <v>5.9158875942379305</v>
      </c>
      <c r="F52" s="672">
        <f t="shared" si="6"/>
        <v>482.48920053809553</v>
      </c>
      <c r="G52" s="672">
        <f t="shared" si="6"/>
        <v>0</v>
      </c>
      <c r="H52" s="672">
        <f t="shared" si="6"/>
        <v>128651.39858320303</v>
      </c>
      <c r="I52" s="672">
        <f t="shared" si="6"/>
        <v>19246.103380632845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148403.61948179291</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302.32256420961073</v>
      </c>
      <c r="D54" s="948">
        <f ca="1">+landbouw!C12</f>
        <v>0.45909090909090916</v>
      </c>
      <c r="E54" s="948">
        <f>+landbouw!D12</f>
        <v>271.75075704757603</v>
      </c>
      <c r="F54" s="948">
        <f>+landbouw!E12</f>
        <v>3.187932243986586</v>
      </c>
      <c r="G54" s="948">
        <f>+landbouw!F12</f>
        <v>1266.8052799380621</v>
      </c>
      <c r="H54" s="948">
        <f>+landbouw!G12</f>
        <v>0</v>
      </c>
      <c r="I54" s="948">
        <f>+landbouw!H12</f>
        <v>0</v>
      </c>
      <c r="J54" s="948">
        <f>+landbouw!I12</f>
        <v>0</v>
      </c>
      <c r="K54" s="948">
        <f>+landbouw!J12</f>
        <v>50.227298228857094</v>
      </c>
      <c r="L54" s="948">
        <f>+landbouw!K12</f>
        <v>0</v>
      </c>
      <c r="M54" s="948">
        <f>+landbouw!L12</f>
        <v>0</v>
      </c>
      <c r="N54" s="948">
        <f>+landbouw!M12</f>
        <v>0</v>
      </c>
      <c r="O54" s="948">
        <f>+landbouw!N12</f>
        <v>0</v>
      </c>
      <c r="P54" s="948">
        <f>+landbouw!O12</f>
        <v>0</v>
      </c>
      <c r="Q54" s="949">
        <f>+landbouw!P12</f>
        <v>0</v>
      </c>
      <c r="R54" s="671">
        <f ca="1">SUM(C54:Q54)</f>
        <v>1894.7529225771834</v>
      </c>
    </row>
    <row r="55" spans="1:18" ht="15" thickBot="1">
      <c r="A55" s="769" t="s">
        <v>847</v>
      </c>
      <c r="B55" s="779"/>
      <c r="C55" s="948">
        <f ca="1">C25*'EF ele_warmte'!B12</f>
        <v>1374.3691108151002</v>
      </c>
      <c r="D55" s="948"/>
      <c r="E55" s="948">
        <f>E25*EF_CO2_aardgas</f>
        <v>6456.7275242875157</v>
      </c>
      <c r="F55" s="948"/>
      <c r="G55" s="948"/>
      <c r="H55" s="948"/>
      <c r="I55" s="948"/>
      <c r="J55" s="948"/>
      <c r="K55" s="948"/>
      <c r="L55" s="948"/>
      <c r="M55" s="948"/>
      <c r="N55" s="948"/>
      <c r="O55" s="948"/>
      <c r="P55" s="948"/>
      <c r="Q55" s="949"/>
      <c r="R55" s="671">
        <f ca="1">SUM(C55:Q55)</f>
        <v>7831.0966351026163</v>
      </c>
    </row>
    <row r="56" spans="1:18" ht="15.75" thickBot="1">
      <c r="A56" s="767" t="s">
        <v>848</v>
      </c>
      <c r="B56" s="780"/>
      <c r="C56" s="672">
        <f ca="1">SUM(C54:C55)</f>
        <v>1676.691675024711</v>
      </c>
      <c r="D56" s="672">
        <f t="shared" ref="D56:Q56" ca="1" si="7">SUM(D54:D55)</f>
        <v>0.45909090909090916</v>
      </c>
      <c r="E56" s="672">
        <f t="shared" si="7"/>
        <v>6728.4782813350921</v>
      </c>
      <c r="F56" s="672">
        <f t="shared" si="7"/>
        <v>3.187932243986586</v>
      </c>
      <c r="G56" s="672">
        <f t="shared" si="7"/>
        <v>1266.8052799380621</v>
      </c>
      <c r="H56" s="672">
        <f t="shared" si="7"/>
        <v>0</v>
      </c>
      <c r="I56" s="672">
        <f t="shared" si="7"/>
        <v>0</v>
      </c>
      <c r="J56" s="672">
        <f t="shared" si="7"/>
        <v>0</v>
      </c>
      <c r="K56" s="672">
        <f t="shared" si="7"/>
        <v>50.227298228857094</v>
      </c>
      <c r="L56" s="672">
        <f t="shared" si="7"/>
        <v>0</v>
      </c>
      <c r="M56" s="672">
        <f t="shared" si="7"/>
        <v>0</v>
      </c>
      <c r="N56" s="672">
        <f t="shared" si="7"/>
        <v>0</v>
      </c>
      <c r="O56" s="672">
        <f t="shared" si="7"/>
        <v>0</v>
      </c>
      <c r="P56" s="672">
        <f t="shared" si="7"/>
        <v>0</v>
      </c>
      <c r="Q56" s="673">
        <f t="shared" si="7"/>
        <v>0</v>
      </c>
      <c r="R56" s="674">
        <f ca="1">SUM(R54:R55)</f>
        <v>9725.8495576797995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114867.32476398736</v>
      </c>
      <c r="D61" s="680">
        <f t="shared" ref="D61:Q61" ca="1" si="8">D46+D52+D56</f>
        <v>0.45909090909090916</v>
      </c>
      <c r="E61" s="680">
        <f t="shared" ca="1" si="8"/>
        <v>194854.17334295553</v>
      </c>
      <c r="F61" s="680">
        <f t="shared" si="8"/>
        <v>2122.7791020375557</v>
      </c>
      <c r="G61" s="680">
        <f t="shared" ca="1" si="8"/>
        <v>54681.564270555325</v>
      </c>
      <c r="H61" s="680">
        <f t="shared" si="8"/>
        <v>128651.39858320303</v>
      </c>
      <c r="I61" s="680">
        <f t="shared" si="8"/>
        <v>19246.103380632845</v>
      </c>
      <c r="J61" s="680">
        <f t="shared" si="8"/>
        <v>0</v>
      </c>
      <c r="K61" s="680">
        <f t="shared" si="8"/>
        <v>1297.6928096185895</v>
      </c>
      <c r="L61" s="680">
        <f t="shared" si="8"/>
        <v>0</v>
      </c>
      <c r="M61" s="680">
        <f t="shared" ca="1" si="8"/>
        <v>0</v>
      </c>
      <c r="N61" s="680">
        <f t="shared" si="8"/>
        <v>0</v>
      </c>
      <c r="O61" s="680">
        <f t="shared" ca="1" si="8"/>
        <v>0</v>
      </c>
      <c r="P61" s="680">
        <f t="shared" si="8"/>
        <v>0</v>
      </c>
      <c r="Q61" s="680">
        <f t="shared" si="8"/>
        <v>0</v>
      </c>
      <c r="R61" s="680">
        <f ca="1">R46+R52+R56</f>
        <v>515721.49534389935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0.21258491613366251</v>
      </c>
      <c r="D63" s="724">
        <f t="shared" ca="1" si="9"/>
        <v>0.22444444444444447</v>
      </c>
      <c r="E63" s="950">
        <f t="shared" ca="1" si="9"/>
        <v>0.20200000000000004</v>
      </c>
      <c r="F63" s="724">
        <f t="shared" si="9"/>
        <v>0.22700000000000004</v>
      </c>
      <c r="G63" s="724">
        <f t="shared" ca="1" si="9"/>
        <v>0.26699999999999996</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315</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10314.551170332139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0.40909090909090912</v>
      </c>
      <c r="D76" s="960">
        <f>'lokale energieproductie'!C8</f>
        <v>0.45454545454545464</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9.181818181818184E-2</v>
      </c>
      <c r="R76" s="796">
        <v>0</v>
      </c>
    </row>
    <row r="77" spans="1:18" ht="30.75" thickBot="1">
      <c r="A77" s="693" t="s">
        <v>340</v>
      </c>
      <c r="B77" s="690">
        <f>'lokale energieproductie'!B9*IFERROR(SUM(I77:O77)/SUM(D77:O77),0)</f>
        <v>9945</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28414.285714285717</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20574.551170332139</v>
      </c>
      <c r="C78" s="695">
        <f>SUM(C72:C77)</f>
        <v>0.40909090909090912</v>
      </c>
      <c r="D78" s="696">
        <f t="shared" ref="D78:H78" si="10">SUM(D76:D77)</f>
        <v>0.45454545454545464</v>
      </c>
      <c r="E78" s="696">
        <f t="shared" si="10"/>
        <v>0</v>
      </c>
      <c r="F78" s="696">
        <f t="shared" si="10"/>
        <v>0</v>
      </c>
      <c r="G78" s="696">
        <f t="shared" si="10"/>
        <v>0</v>
      </c>
      <c r="H78" s="696">
        <f t="shared" si="10"/>
        <v>0</v>
      </c>
      <c r="I78" s="696">
        <f>SUM(I76:I77)</f>
        <v>0</v>
      </c>
      <c r="J78" s="696">
        <f>SUM(J76:J77)</f>
        <v>28414.285714285717</v>
      </c>
      <c r="K78" s="696">
        <f t="shared" ref="K78:L78" si="11">SUM(K76:K77)</f>
        <v>0</v>
      </c>
      <c r="L78" s="696">
        <f t="shared" si="11"/>
        <v>0</v>
      </c>
      <c r="M78" s="696">
        <f>SUM(M76:M77)</f>
        <v>0</v>
      </c>
      <c r="N78" s="696">
        <f>SUM(N76:N77)</f>
        <v>0</v>
      </c>
      <c r="O78" s="804">
        <f>SUM(O76:O77)</f>
        <v>0</v>
      </c>
      <c r="P78" s="697">
        <v>0</v>
      </c>
      <c r="Q78" s="697">
        <f>SUM(Q76:Q77)</f>
        <v>9.181818181818184E-2</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2.0454545454545454</v>
      </c>
      <c r="D87" s="717">
        <f>'lokale energieproductie'!C17</f>
        <v>2.2727272727272729</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0.45909090909090916</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2.0454545454545454</v>
      </c>
      <c r="D90" s="695">
        <f t="shared" ref="D90:H90" si="12">SUM(D87:D89)</f>
        <v>2.2727272727272729</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0.45909090909090916</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119104.49184056326</v>
      </c>
      <c r="C4" s="447">
        <f>huishoudens!C8</f>
        <v>0</v>
      </c>
      <c r="D4" s="447">
        <f>huishoudens!D8</f>
        <v>411783.2465173169</v>
      </c>
      <c r="E4" s="447">
        <f>huishoudens!E8</f>
        <v>4075.7745275325415</v>
      </c>
      <c r="F4" s="447">
        <f>huishoudens!F8</f>
        <v>124258.53216514841</v>
      </c>
      <c r="G4" s="447">
        <f>huishoudens!G8</f>
        <v>0</v>
      </c>
      <c r="H4" s="447">
        <f>huishoudens!H8</f>
        <v>0</v>
      </c>
      <c r="I4" s="447">
        <f>huishoudens!I8</f>
        <v>0</v>
      </c>
      <c r="J4" s="447">
        <f>huishoudens!J8</f>
        <v>2254.6277687687516</v>
      </c>
      <c r="K4" s="447">
        <f>huishoudens!K8</f>
        <v>0</v>
      </c>
      <c r="L4" s="447">
        <f>huishoudens!L8</f>
        <v>0</v>
      </c>
      <c r="M4" s="447">
        <f>huishoudens!M8</f>
        <v>0</v>
      </c>
      <c r="N4" s="447">
        <f>huishoudens!N8</f>
        <v>47389.331342799545</v>
      </c>
      <c r="O4" s="447">
        <f>huishoudens!O8</f>
        <v>232.9366666666667</v>
      </c>
      <c r="P4" s="448">
        <f>huishoudens!P8</f>
        <v>400.4</v>
      </c>
      <c r="Q4" s="449">
        <f>SUM(B4:P4)</f>
        <v>709499.34082879603</v>
      </c>
    </row>
    <row r="5" spans="1:17">
      <c r="A5" s="446" t="s">
        <v>149</v>
      </c>
      <c r="B5" s="447">
        <f ca="1">tertiair!B16</f>
        <v>216875.29913918409</v>
      </c>
      <c r="C5" s="447">
        <f ca="1">tertiair!C16</f>
        <v>0</v>
      </c>
      <c r="D5" s="447">
        <f ca="1">tertiair!D16</f>
        <v>222414.68180787622</v>
      </c>
      <c r="E5" s="447">
        <f>tertiair!E16</f>
        <v>1284.710552272827</v>
      </c>
      <c r="F5" s="447">
        <f ca="1">tertiair!F16</f>
        <v>37103.162651938997</v>
      </c>
      <c r="G5" s="447">
        <f>tertiair!G16</f>
        <v>0</v>
      </c>
      <c r="H5" s="447">
        <f>tertiair!H16</f>
        <v>0</v>
      </c>
      <c r="I5" s="447">
        <f>tertiair!I16</f>
        <v>0</v>
      </c>
      <c r="J5" s="447">
        <f>tertiair!J16</f>
        <v>0</v>
      </c>
      <c r="K5" s="447">
        <f>tertiair!K16</f>
        <v>0</v>
      </c>
      <c r="L5" s="447">
        <f ca="1">tertiair!L16</f>
        <v>0</v>
      </c>
      <c r="M5" s="447">
        <f>tertiair!M16</f>
        <v>0</v>
      </c>
      <c r="N5" s="447">
        <f ca="1">tertiair!N16</f>
        <v>0</v>
      </c>
      <c r="O5" s="447">
        <f>tertiair!O16</f>
        <v>1.5633333333333335</v>
      </c>
      <c r="P5" s="448">
        <f>tertiair!P16</f>
        <v>114.4</v>
      </c>
      <c r="Q5" s="446">
        <f t="shared" ref="Q5:Q14" ca="1" si="0">SUM(B5:P5)</f>
        <v>477793.81748460548</v>
      </c>
    </row>
    <row r="6" spans="1:17">
      <c r="A6" s="446" t="s">
        <v>187</v>
      </c>
      <c r="B6" s="447">
        <f>'openbare verlichting'!B8</f>
        <v>4424.6769999999997</v>
      </c>
      <c r="C6" s="447"/>
      <c r="D6" s="447"/>
      <c r="E6" s="447"/>
      <c r="F6" s="447"/>
      <c r="G6" s="447"/>
      <c r="H6" s="447"/>
      <c r="I6" s="447"/>
      <c r="J6" s="447"/>
      <c r="K6" s="447"/>
      <c r="L6" s="447"/>
      <c r="M6" s="447"/>
      <c r="N6" s="447"/>
      <c r="O6" s="447"/>
      <c r="P6" s="448"/>
      <c r="Q6" s="446">
        <f t="shared" si="0"/>
        <v>4424.6769999999997</v>
      </c>
    </row>
    <row r="7" spans="1:17">
      <c r="A7" s="446" t="s">
        <v>105</v>
      </c>
      <c r="B7" s="447">
        <f>landbouw!B8</f>
        <v>1422.1261306212609</v>
      </c>
      <c r="C7" s="447">
        <f>landbouw!C8</f>
        <v>2.0454545454545454</v>
      </c>
      <c r="D7" s="447">
        <f>landbouw!D8</f>
        <v>1345.3007774632476</v>
      </c>
      <c r="E7" s="447">
        <f>landbouw!E8</f>
        <v>14.043754378795533</v>
      </c>
      <c r="F7" s="447">
        <f>landbouw!F8</f>
        <v>4744.5890634384341</v>
      </c>
      <c r="G7" s="447">
        <f>landbouw!G8</f>
        <v>0</v>
      </c>
      <c r="H7" s="447">
        <f>landbouw!H8</f>
        <v>0</v>
      </c>
      <c r="I7" s="447">
        <f>landbouw!I8</f>
        <v>0</v>
      </c>
      <c r="J7" s="447">
        <f>landbouw!J8</f>
        <v>141.88502324535904</v>
      </c>
      <c r="K7" s="447">
        <f>landbouw!K8</f>
        <v>0</v>
      </c>
      <c r="L7" s="447">
        <f>landbouw!L8</f>
        <v>0</v>
      </c>
      <c r="M7" s="447">
        <f>landbouw!M8</f>
        <v>0</v>
      </c>
      <c r="N7" s="447">
        <f>landbouw!N8</f>
        <v>0</v>
      </c>
      <c r="O7" s="447">
        <f>landbouw!O8</f>
        <v>0</v>
      </c>
      <c r="P7" s="448">
        <f>landbouw!P8</f>
        <v>0</v>
      </c>
      <c r="Q7" s="446">
        <f t="shared" si="0"/>
        <v>7669.9902036925514</v>
      </c>
    </row>
    <row r="8" spans="1:17">
      <c r="A8" s="446" t="s">
        <v>640</v>
      </c>
      <c r="B8" s="447">
        <f>industrie!B18</f>
        <v>191961.24600148655</v>
      </c>
      <c r="C8" s="447">
        <f>industrie!C18</f>
        <v>0</v>
      </c>
      <c r="D8" s="447">
        <f>industrie!D18</f>
        <v>297088.10718978802</v>
      </c>
      <c r="E8" s="447">
        <f>industrie!E18</f>
        <v>1851.4178684566282</v>
      </c>
      <c r="F8" s="447">
        <f>industrie!F18</f>
        <v>38693.582301329312</v>
      </c>
      <c r="G8" s="447">
        <f>industrie!G18</f>
        <v>0</v>
      </c>
      <c r="H8" s="447">
        <f>industrie!H18</f>
        <v>0</v>
      </c>
      <c r="I8" s="447">
        <f>industrie!I18</f>
        <v>0</v>
      </c>
      <c r="J8" s="447">
        <f>industrie!J18</f>
        <v>1269.2861052135436</v>
      </c>
      <c r="K8" s="447">
        <f>industrie!K18</f>
        <v>0</v>
      </c>
      <c r="L8" s="447">
        <f>industrie!L18</f>
        <v>0</v>
      </c>
      <c r="M8" s="447">
        <f>industrie!M18</f>
        <v>0</v>
      </c>
      <c r="N8" s="447">
        <f>industrie!N18</f>
        <v>7051.1061443559502</v>
      </c>
      <c r="O8" s="447">
        <f>industrie!O18</f>
        <v>0</v>
      </c>
      <c r="P8" s="448">
        <f>industrie!P18</f>
        <v>0</v>
      </c>
      <c r="Q8" s="446">
        <f t="shared" si="0"/>
        <v>537914.74561063002</v>
      </c>
    </row>
    <row r="9" spans="1:17" s="452" customFormat="1">
      <c r="A9" s="450" t="s">
        <v>560</v>
      </c>
      <c r="B9" s="451">
        <f>transport!B14</f>
        <v>25.487540126021074</v>
      </c>
      <c r="C9" s="451">
        <f>transport!C14</f>
        <v>0</v>
      </c>
      <c r="D9" s="451">
        <f>transport!D14</f>
        <v>29.286572248702626</v>
      </c>
      <c r="E9" s="451">
        <f>transport!E14</f>
        <v>2125.5030860709053</v>
      </c>
      <c r="F9" s="451">
        <f>transport!F14</f>
        <v>0</v>
      </c>
      <c r="G9" s="451">
        <f>transport!G14</f>
        <v>470305.78207592916</v>
      </c>
      <c r="H9" s="451">
        <f>transport!H14</f>
        <v>77293.587874027493</v>
      </c>
      <c r="I9" s="451">
        <f>transport!I14</f>
        <v>0</v>
      </c>
      <c r="J9" s="451">
        <f>transport!J14</f>
        <v>0</v>
      </c>
      <c r="K9" s="451">
        <f>transport!K14</f>
        <v>0</v>
      </c>
      <c r="L9" s="451">
        <f>transport!L14</f>
        <v>0</v>
      </c>
      <c r="M9" s="451">
        <f>transport!M14</f>
        <v>24467.029566317382</v>
      </c>
      <c r="N9" s="451">
        <f>transport!N14</f>
        <v>0</v>
      </c>
      <c r="O9" s="451">
        <f>transport!O14</f>
        <v>0</v>
      </c>
      <c r="P9" s="451">
        <f>transport!P14</f>
        <v>0</v>
      </c>
      <c r="Q9" s="450">
        <f>SUM(B9:P9)</f>
        <v>574246.67671471962</v>
      </c>
    </row>
    <row r="10" spans="1:17">
      <c r="A10" s="446" t="s">
        <v>550</v>
      </c>
      <c r="B10" s="447">
        <f>transport!B54</f>
        <v>57.831775970446074</v>
      </c>
      <c r="C10" s="447">
        <f>transport!C54</f>
        <v>0</v>
      </c>
      <c r="D10" s="447">
        <f>transport!D54</f>
        <v>0</v>
      </c>
      <c r="E10" s="447">
        <f>transport!E54</f>
        <v>0</v>
      </c>
      <c r="F10" s="447">
        <f>transport!F54</f>
        <v>0</v>
      </c>
      <c r="G10" s="447">
        <f>transport!G54</f>
        <v>11534.662055917375</v>
      </c>
      <c r="H10" s="447">
        <f>transport!H54</f>
        <v>0</v>
      </c>
      <c r="I10" s="447">
        <f>transport!I54</f>
        <v>0</v>
      </c>
      <c r="J10" s="447">
        <f>transport!J54</f>
        <v>0</v>
      </c>
      <c r="K10" s="447">
        <f>transport!K54</f>
        <v>0</v>
      </c>
      <c r="L10" s="447">
        <f>transport!L54</f>
        <v>0</v>
      </c>
      <c r="M10" s="447">
        <f>transport!M54</f>
        <v>509.81977796132719</v>
      </c>
      <c r="N10" s="447">
        <f>transport!N54</f>
        <v>0</v>
      </c>
      <c r="O10" s="447">
        <f>transport!O54</f>
        <v>0</v>
      </c>
      <c r="P10" s="448">
        <f>transport!P54</f>
        <v>0</v>
      </c>
      <c r="Q10" s="446">
        <f t="shared" si="0"/>
        <v>12102.313609849149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6465.0358821835098</v>
      </c>
      <c r="C14" s="454"/>
      <c r="D14" s="454">
        <f>'SEAP template'!E25</f>
        <v>31963.997644987699</v>
      </c>
      <c r="E14" s="454"/>
      <c r="F14" s="454"/>
      <c r="G14" s="454"/>
      <c r="H14" s="454"/>
      <c r="I14" s="454"/>
      <c r="J14" s="454"/>
      <c r="K14" s="454"/>
      <c r="L14" s="454"/>
      <c r="M14" s="454"/>
      <c r="N14" s="454"/>
      <c r="O14" s="454"/>
      <c r="P14" s="455"/>
      <c r="Q14" s="446">
        <f t="shared" si="0"/>
        <v>38429.03352717121</v>
      </c>
    </row>
    <row r="15" spans="1:17" s="459" customFormat="1">
      <c r="A15" s="456" t="s">
        <v>554</v>
      </c>
      <c r="B15" s="457">
        <f ca="1">SUM(B4:B14)</f>
        <v>540336.19531013502</v>
      </c>
      <c r="C15" s="457">
        <f t="shared" ref="C15:Q15" ca="1" si="1">SUM(C4:C14)</f>
        <v>2.0454545454545454</v>
      </c>
      <c r="D15" s="457">
        <f t="shared" ca="1" si="1"/>
        <v>964624.62050968071</v>
      </c>
      <c r="E15" s="457">
        <f t="shared" si="1"/>
        <v>9351.4497887116977</v>
      </c>
      <c r="F15" s="457">
        <f t="shared" ca="1" si="1"/>
        <v>204799.86618185515</v>
      </c>
      <c r="G15" s="457">
        <f t="shared" si="1"/>
        <v>481840.44413184654</v>
      </c>
      <c r="H15" s="457">
        <f t="shared" si="1"/>
        <v>77293.587874027493</v>
      </c>
      <c r="I15" s="457">
        <f t="shared" si="1"/>
        <v>0</v>
      </c>
      <c r="J15" s="457">
        <f t="shared" si="1"/>
        <v>3665.7988972276544</v>
      </c>
      <c r="K15" s="457">
        <f t="shared" si="1"/>
        <v>0</v>
      </c>
      <c r="L15" s="457">
        <f t="shared" ca="1" si="1"/>
        <v>0</v>
      </c>
      <c r="M15" s="457">
        <f t="shared" si="1"/>
        <v>24976.849344278708</v>
      </c>
      <c r="N15" s="457">
        <f t="shared" ca="1" si="1"/>
        <v>54440.437487155497</v>
      </c>
      <c r="O15" s="457">
        <f t="shared" si="1"/>
        <v>234.50000000000003</v>
      </c>
      <c r="P15" s="457">
        <f t="shared" si="1"/>
        <v>514.79999999999995</v>
      </c>
      <c r="Q15" s="457">
        <f t="shared" ca="1" si="1"/>
        <v>2362080.5949794641</v>
      </c>
    </row>
    <row r="17" spans="1:17">
      <c r="A17" s="460" t="s">
        <v>555</v>
      </c>
      <c r="B17" s="729">
        <f ca="1">huishoudens!B10</f>
        <v>0.21258491613366251</v>
      </c>
      <c r="C17" s="729">
        <f ca="1">huishoudens!C10</f>
        <v>0.22444444444444447</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25319.818409068634</v>
      </c>
      <c r="C22" s="447">
        <f t="shared" ref="C22:C32" ca="1" si="3">C4*$C$17</f>
        <v>0</v>
      </c>
      <c r="D22" s="447">
        <f t="shared" ref="D22:D32" si="4">D4*$D$17</f>
        <v>83180.215796498014</v>
      </c>
      <c r="E22" s="447">
        <f t="shared" ref="E22:E32" si="5">E4*$E$17</f>
        <v>925.20081774988694</v>
      </c>
      <c r="F22" s="447">
        <f t="shared" ref="F22:F32" si="6">F4*$F$17</f>
        <v>33177.02808809463</v>
      </c>
      <c r="G22" s="447">
        <f t="shared" ref="G22:G32" si="7">G4*$G$17</f>
        <v>0</v>
      </c>
      <c r="H22" s="447">
        <f t="shared" ref="H22:H32" si="8">H4*$H$17</f>
        <v>0</v>
      </c>
      <c r="I22" s="447">
        <f t="shared" ref="I22:I32" si="9">I4*$I$17</f>
        <v>0</v>
      </c>
      <c r="J22" s="447">
        <f t="shared" ref="J22:J32" si="10">J4*$J$17</f>
        <v>798.13823014413799</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143400.40134155532</v>
      </c>
    </row>
    <row r="23" spans="1:17">
      <c r="A23" s="446" t="s">
        <v>149</v>
      </c>
      <c r="B23" s="447">
        <f t="shared" ca="1" si="2"/>
        <v>46104.417278966423</v>
      </c>
      <c r="C23" s="447">
        <f t="shared" ca="1" si="3"/>
        <v>0</v>
      </c>
      <c r="D23" s="447">
        <f t="shared" ca="1" si="4"/>
        <v>44927.765725190999</v>
      </c>
      <c r="E23" s="447">
        <f t="shared" si="5"/>
        <v>291.62929536593174</v>
      </c>
      <c r="F23" s="447">
        <f t="shared" ca="1" si="6"/>
        <v>9906.5444280677129</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101230.35672759106</v>
      </c>
    </row>
    <row r="24" spans="1:17">
      <c r="A24" s="446" t="s">
        <v>187</v>
      </c>
      <c r="B24" s="447">
        <f t="shared" ca="1" si="2"/>
        <v>940.61958896354531</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940.61958896354531</v>
      </c>
    </row>
    <row r="25" spans="1:17">
      <c r="A25" s="446" t="s">
        <v>105</v>
      </c>
      <c r="B25" s="447">
        <f t="shared" ca="1" si="2"/>
        <v>302.32256420961073</v>
      </c>
      <c r="C25" s="447">
        <f t="shared" ca="1" si="3"/>
        <v>0.45909090909090916</v>
      </c>
      <c r="D25" s="447">
        <f t="shared" si="4"/>
        <v>271.75075704757603</v>
      </c>
      <c r="E25" s="447">
        <f t="shared" si="5"/>
        <v>3.187932243986586</v>
      </c>
      <c r="F25" s="447">
        <f t="shared" si="6"/>
        <v>1266.8052799380621</v>
      </c>
      <c r="G25" s="447">
        <f t="shared" si="7"/>
        <v>0</v>
      </c>
      <c r="H25" s="447">
        <f t="shared" si="8"/>
        <v>0</v>
      </c>
      <c r="I25" s="447">
        <f t="shared" si="9"/>
        <v>0</v>
      </c>
      <c r="J25" s="447">
        <f t="shared" si="10"/>
        <v>50.227298228857094</v>
      </c>
      <c r="K25" s="447">
        <f t="shared" si="11"/>
        <v>0</v>
      </c>
      <c r="L25" s="447">
        <f t="shared" si="12"/>
        <v>0</v>
      </c>
      <c r="M25" s="447">
        <f t="shared" si="13"/>
        <v>0</v>
      </c>
      <c r="N25" s="447">
        <f t="shared" si="14"/>
        <v>0</v>
      </c>
      <c r="O25" s="447">
        <f t="shared" si="15"/>
        <v>0</v>
      </c>
      <c r="P25" s="448">
        <f t="shared" si="16"/>
        <v>0</v>
      </c>
      <c r="Q25" s="446">
        <f t="shared" ca="1" si="17"/>
        <v>1894.7529225771834</v>
      </c>
    </row>
    <row r="26" spans="1:17">
      <c r="A26" s="446" t="s">
        <v>640</v>
      </c>
      <c r="B26" s="447">
        <f t="shared" ca="1" si="2"/>
        <v>40808.065382139379</v>
      </c>
      <c r="C26" s="447">
        <f t="shared" ca="1" si="3"/>
        <v>0</v>
      </c>
      <c r="D26" s="447">
        <f t="shared" si="4"/>
        <v>60011.797652337184</v>
      </c>
      <c r="E26" s="447">
        <f t="shared" si="5"/>
        <v>420.27185613965463</v>
      </c>
      <c r="F26" s="447">
        <f t="shared" si="6"/>
        <v>10331.186474454928</v>
      </c>
      <c r="G26" s="447">
        <f t="shared" si="7"/>
        <v>0</v>
      </c>
      <c r="H26" s="447">
        <f t="shared" si="8"/>
        <v>0</v>
      </c>
      <c r="I26" s="447">
        <f t="shared" si="9"/>
        <v>0</v>
      </c>
      <c r="J26" s="447">
        <f t="shared" si="10"/>
        <v>449.32728124559441</v>
      </c>
      <c r="K26" s="447">
        <f t="shared" si="11"/>
        <v>0</v>
      </c>
      <c r="L26" s="447">
        <f t="shared" si="12"/>
        <v>0</v>
      </c>
      <c r="M26" s="447">
        <f t="shared" si="13"/>
        <v>0</v>
      </c>
      <c r="N26" s="447">
        <f t="shared" si="14"/>
        <v>0</v>
      </c>
      <c r="O26" s="447">
        <f t="shared" si="15"/>
        <v>0</v>
      </c>
      <c r="P26" s="448">
        <f t="shared" si="16"/>
        <v>0</v>
      </c>
      <c r="Q26" s="446">
        <f t="shared" ca="1" si="17"/>
        <v>112020.64864631674</v>
      </c>
    </row>
    <row r="27" spans="1:17" s="452" customFormat="1">
      <c r="A27" s="450" t="s">
        <v>560</v>
      </c>
      <c r="B27" s="723">
        <f t="shared" ca="1" si="2"/>
        <v>5.4182665801435483</v>
      </c>
      <c r="C27" s="451">
        <f t="shared" ca="1" si="3"/>
        <v>0</v>
      </c>
      <c r="D27" s="451">
        <f t="shared" si="4"/>
        <v>5.9158875942379305</v>
      </c>
      <c r="E27" s="451">
        <f t="shared" si="5"/>
        <v>482.48920053809553</v>
      </c>
      <c r="F27" s="451">
        <f t="shared" si="6"/>
        <v>0</v>
      </c>
      <c r="G27" s="451">
        <f t="shared" si="7"/>
        <v>125571.64381427309</v>
      </c>
      <c r="H27" s="451">
        <f t="shared" si="8"/>
        <v>19246.103380632845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145311.57054961842</v>
      </c>
    </row>
    <row r="28" spans="1:17">
      <c r="A28" s="446" t="s">
        <v>550</v>
      </c>
      <c r="B28" s="447">
        <f t="shared" ca="1" si="2"/>
        <v>12.294163244538037</v>
      </c>
      <c r="C28" s="447">
        <f t="shared" ca="1" si="3"/>
        <v>0</v>
      </c>
      <c r="D28" s="447">
        <f t="shared" si="4"/>
        <v>0</v>
      </c>
      <c r="E28" s="447">
        <f t="shared" si="5"/>
        <v>0</v>
      </c>
      <c r="F28" s="447">
        <f t="shared" si="6"/>
        <v>0</v>
      </c>
      <c r="G28" s="447">
        <f t="shared" si="7"/>
        <v>3079.7547689299395</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3092.0489321744776</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1374.3691108151002</v>
      </c>
      <c r="C32" s="447">
        <f t="shared" ca="1" si="3"/>
        <v>0</v>
      </c>
      <c r="D32" s="447">
        <f t="shared" si="4"/>
        <v>6456.7275242875157</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7831.0966351026163</v>
      </c>
    </row>
    <row r="33" spans="1:17" s="459" customFormat="1">
      <c r="A33" s="456" t="s">
        <v>554</v>
      </c>
      <c r="B33" s="457">
        <f ca="1">SUM(B22:B32)</f>
        <v>114867.32476398737</v>
      </c>
      <c r="C33" s="457">
        <f t="shared" ref="C33:Q33" ca="1" si="18">SUM(C22:C32)</f>
        <v>0.45909090909090916</v>
      </c>
      <c r="D33" s="457">
        <f t="shared" ca="1" si="18"/>
        <v>194854.17334295553</v>
      </c>
      <c r="E33" s="457">
        <f t="shared" si="18"/>
        <v>2122.7791020375553</v>
      </c>
      <c r="F33" s="457">
        <f t="shared" ca="1" si="18"/>
        <v>54681.564270555333</v>
      </c>
      <c r="G33" s="457">
        <f t="shared" si="18"/>
        <v>128651.39858320303</v>
      </c>
      <c r="H33" s="457">
        <f t="shared" si="18"/>
        <v>19246.103380632845</v>
      </c>
      <c r="I33" s="457">
        <f t="shared" si="18"/>
        <v>0</v>
      </c>
      <c r="J33" s="457">
        <f t="shared" si="18"/>
        <v>1297.6928096185895</v>
      </c>
      <c r="K33" s="457">
        <f t="shared" si="18"/>
        <v>0</v>
      </c>
      <c r="L33" s="457">
        <f t="shared" ca="1" si="18"/>
        <v>0</v>
      </c>
      <c r="M33" s="457">
        <f t="shared" si="18"/>
        <v>0</v>
      </c>
      <c r="N33" s="457">
        <f t="shared" ca="1" si="18"/>
        <v>0</v>
      </c>
      <c r="O33" s="457">
        <f t="shared" si="18"/>
        <v>0</v>
      </c>
      <c r="P33" s="457">
        <f t="shared" si="18"/>
        <v>0</v>
      </c>
      <c r="Q33" s="457">
        <f t="shared" ca="1" si="18"/>
        <v>515721.49534389935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315</v>
      </c>
      <c r="C5" s="977"/>
      <c r="D5" s="977"/>
      <c r="E5" s="977"/>
      <c r="F5" s="977"/>
      <c r="G5" s="977"/>
      <c r="H5" s="977"/>
      <c r="I5" s="977"/>
      <c r="J5" s="977"/>
      <c r="K5" s="977"/>
      <c r="L5" s="977"/>
      <c r="M5" s="977"/>
      <c r="N5" s="977"/>
      <c r="O5" s="977"/>
      <c r="P5" s="978">
        <f>'SEAP template'!Q73</f>
        <v>0</v>
      </c>
    </row>
    <row r="6" spans="1:16">
      <c r="A6" s="979" t="s">
        <v>240</v>
      </c>
      <c r="B6" s="977">
        <f>'SEAP template'!B74</f>
        <v>10314.551170332139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0.40909090909090912</v>
      </c>
      <c r="D8" s="977">
        <f>'SEAP template'!D76</f>
        <v>0.45454545454545464</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9.181818181818184E-2</v>
      </c>
    </row>
    <row r="9" spans="1:16">
      <c r="A9" s="980" t="s">
        <v>859</v>
      </c>
      <c r="B9" s="977">
        <f>'SEAP template'!B77</f>
        <v>9945</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28414.285714285717</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20574.551170332139</v>
      </c>
      <c r="C10" s="981">
        <f>SUM(C4:C9)</f>
        <v>0.40909090909090912</v>
      </c>
      <c r="D10" s="981">
        <f t="shared" ref="D10:H10" si="0">SUM(D8:D9)</f>
        <v>0.45454545454545464</v>
      </c>
      <c r="E10" s="981">
        <f t="shared" si="0"/>
        <v>0</v>
      </c>
      <c r="F10" s="981">
        <f t="shared" si="0"/>
        <v>0</v>
      </c>
      <c r="G10" s="981">
        <f t="shared" si="0"/>
        <v>0</v>
      </c>
      <c r="H10" s="981">
        <f t="shared" si="0"/>
        <v>0</v>
      </c>
      <c r="I10" s="981">
        <f>SUM(I8:I9)</f>
        <v>0</v>
      </c>
      <c r="J10" s="981">
        <f>SUM(J8:J9)</f>
        <v>28414.285714285717</v>
      </c>
      <c r="K10" s="981">
        <f t="shared" ref="K10:L10" si="1">SUM(K8:K9)</f>
        <v>0</v>
      </c>
      <c r="L10" s="981">
        <f t="shared" si="1"/>
        <v>0</v>
      </c>
      <c r="M10" s="981">
        <f>SUM(M8:M9)</f>
        <v>0</v>
      </c>
      <c r="N10" s="981">
        <f>SUM(N8:N9)</f>
        <v>0</v>
      </c>
      <c r="O10" s="981">
        <f>SUM(O8:O9)</f>
        <v>0</v>
      </c>
      <c r="P10" s="981">
        <f>SUM(P8:P9)</f>
        <v>9.181818181818184E-2</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0.21258491613366251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2.0454545454545454</v>
      </c>
      <c r="D17" s="978">
        <f>'SEAP template'!D87</f>
        <v>2.2727272727272729</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0.45909090909090916</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2.0454545454545454</v>
      </c>
      <c r="D20" s="981">
        <f t="shared" ref="D20:H20" si="2">SUM(D17:D19)</f>
        <v>2.2727272727272729</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0.45909090909090916</v>
      </c>
    </row>
    <row r="22" spans="1:16">
      <c r="A22" s="460" t="s">
        <v>867</v>
      </c>
      <c r="B22" s="729" t="s">
        <v>861</v>
      </c>
      <c r="C22" s="729">
        <f ca="1">'EF ele_warmte'!B22</f>
        <v>0.22444444444444447</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0.21258491613366251</v>
      </c>
      <c r="C17" s="496">
        <f ca="1">'EF ele_warmte'!B22</f>
        <v>0.22444444444444447</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2022-07-26T12:19:04Z</dcterms:modified>
</cp:coreProperties>
</file>