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72A52B10-E2E3-4D33-9281-E634AB8CB84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9" i="18"/>
  <c r="E9" i="18"/>
  <c r="D9"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V39" i="18"/>
  <c r="Q39" i="18"/>
  <c r="R39" i="18"/>
  <c r="J9" i="18"/>
  <c r="U39" i="18"/>
  <c r="T39" i="18"/>
  <c r="I9" i="18"/>
  <c r="P39" i="18"/>
  <c r="C9" i="18"/>
  <c r="O39" i="18"/>
  <c r="N39" i="18"/>
  <c r="B9" i="18"/>
  <c r="M39"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B8" i="18"/>
  <c r="M32" i="18"/>
  <c r="G22" i="18"/>
  <c r="F22" i="18"/>
  <c r="E22" i="18"/>
  <c r="D22" i="18"/>
  <c r="C22" i="18"/>
  <c r="L20" i="18"/>
  <c r="D20" i="18"/>
  <c r="G12" i="18"/>
  <c r="F12" i="18"/>
  <c r="E12" i="18"/>
  <c r="D12" i="18"/>
  <c r="C12" i="18"/>
  <c r="L10" i="18"/>
  <c r="K10" i="18"/>
  <c r="G10" i="18"/>
  <c r="D10" i="18"/>
  <c r="B6" i="18"/>
  <c r="B5" i="18"/>
  <c r="B4" i="18"/>
  <c r="B48" i="18"/>
  <c r="F52" i="18"/>
  <c r="F20" i="18"/>
  <c r="B17" i="18"/>
  <c r="C48" i="18"/>
  <c r="B51" i="18"/>
  <c r="C8" i="18"/>
  <c r="G20" i="18"/>
  <c r="K20" i="18"/>
  <c r="B10" i="18"/>
  <c r="O9" i="18"/>
  <c r="O19" i="18"/>
  <c r="O18" i="18"/>
  <c r="B20" i="18"/>
  <c r="I51" i="18"/>
  <c r="H8" i="18"/>
  <c r="H10" i="18"/>
  <c r="E51" i="18"/>
  <c r="E8" i="18"/>
  <c r="E10" i="18"/>
  <c r="D51" i="18"/>
  <c r="F51" i="18"/>
  <c r="N6" i="17"/>
  <c r="L6" i="17"/>
  <c r="F6" i="17"/>
  <c r="D6" i="17"/>
  <c r="C6" i="17"/>
  <c r="N16" i="16"/>
  <c r="L16" i="16"/>
  <c r="F16" i="16"/>
  <c r="D16" i="16"/>
  <c r="C16" i="16"/>
  <c r="B16" i="16"/>
  <c r="B13" i="15"/>
  <c r="H51" i="18"/>
  <c r="C51" i="18"/>
  <c r="J8" i="18"/>
  <c r="C52" i="18"/>
  <c r="H52" i="18"/>
  <c r="G52" i="18"/>
  <c r="I17" i="18"/>
  <c r="I52" i="18"/>
  <c r="H17" i="18"/>
  <c r="H20" i="18"/>
  <c r="D52" i="18"/>
  <c r="E52" i="18"/>
  <c r="E17" i="18"/>
  <c r="E20" i="18"/>
  <c r="B52" i="18"/>
  <c r="C17" i="18"/>
  <c r="C20" i="18"/>
  <c r="G51"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<sst xmlns="http://schemas.openxmlformats.org/spreadsheetml/2006/main" count="2512" uniqueCount="945">
  <si>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</si>
  <si>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</si>
  <si>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</si>
  <si>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</si>
  <si>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</si>
  <si>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</si>
  <si>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</si>
  <si>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</si>
  <si>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</si>
  <si>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</si>
  <si>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</si>
  <si>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</si>
  <si>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</si>
  <si>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</si>
  <si>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</si>
  <si>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</si>
  <si>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</si>
  <si>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</si>
  <si>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</si>
  <si>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</si>
  <si>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</si>
  <si>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</si>
  <si>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</si>
  <si>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</si>
  <si>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</si>
  <si>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</si>
  <si>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</si>
  <si>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</si>
  <si>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</si>
  <si>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</si>
  <si>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</si>
  <si>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</si>
  <si>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</si>
  <si>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</si>
  <si>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</si>
  <si>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</si>
  <si>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</si>
  <si>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</si>
  <si>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</si>
  <si>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</si>
  <si>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</si>
  <si>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</si>
  <si>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</si>
  <si>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</si>
  <si>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</si>
  <si>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</si>
  <si>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</si>
  <si>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</si>
  <si>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</si>
  <si>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</si>
  <si>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</si>
  <si>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</si>
  <si>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</si>
  <si>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</si>
  <si>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</si>
  <si>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</si>
  <si>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</si>
  <si>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</si>
  <si>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</si>
  <si>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</si>
  <si>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</si>
  <si>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</si>
  <si>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</si>
  <si>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</si>
  <si>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</si>
  <si>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</si>
  <si>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</si>
  <si>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</si>
  <si>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</si>
  <si>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</si>
  <si>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</si>
  <si>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</si>
  <si>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</si>
  <si>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</si>
  <si>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</si>
  <si>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</si>
  <si>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</si>
  <si>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</si>
  <si>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</si>
  <si>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</si>
  <si>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</si>
  <si>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</si>
  <si>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</si>
  <si>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</si>
  <si>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</si>
  <si>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</si>
  <si>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</si>
  <si>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</si>
  <si>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</si>
  <si>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</si>
  <si>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</si>
  <si>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</si>
  <si>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</si>
  <si>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</si>
  <si>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</si>
  <si>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</si>
  <si>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</si>
  <si>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</si>
  <si>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</si>
  <si>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</si>
  <si>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</si>
  <si>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</si>
  <si>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</si>
  <si>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</si>
  <si>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</si>
  <si>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</si>
  <si>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</si>
  <si>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</si>
  <si>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</si>
  <si>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</si>
  <si>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</si>
  <si>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</si>
  <si>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</si>
  <si>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</si>
  <si>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</si>
  <si>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</si>
  <si>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</si>
  <si>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</si>
  <si>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</si>
  <si>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</si>
  <si>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</si>
  <si>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</si>
  <si>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</si>
  <si>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</si>
  <si>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</si>
  <si>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</si>
  <si>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</si>
  <si>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</si>
  <si>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</si>
  <si>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</si>
  <si>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</si>
  <si>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</si>
  <si>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</si>
  <si>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</si>
  <si>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</si>
  <si>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</si>
  <si>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</si>
  <si>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</si>
  <si>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</si>
  <si>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</si>
  <si>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</si>
  <si>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</si>
  <si>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</si>
  <si>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</si>
  <si>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</si>
  <si>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</si>
  <si>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</si>
  <si>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</si>
  <si>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</si>
  <si>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</si>
  <si>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</si>
  <si>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</si>
  <si>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</si>
  <si>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</si>
  <si>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</si>
  <si>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</si>
  <si>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</si>
  <si>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</si>
  <si>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</si>
  <si>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</si>
  <si>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</si>
  <si>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</si>
  <si>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</si>
  <si>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</si>
  <si>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</si>
  <si>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</si>
  <si>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</si>
  <si>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</si>
  <si>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</si>
  <si>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</si>
  <si>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</si>
  <si>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</si>
  <si>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</si>
  <si>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</si>
  <si>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</si>
  <si>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</si>
  <si>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</si>
  <si>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</si>
  <si>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</si>
  <si>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</si>
  <si>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</si>
  <si>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</si>
  <si>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</si>
  <si>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</si>
  <si>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</si>
  <si>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</si>
  <si>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</si>
  <si>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</si>
  <si>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</si>
  <si>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</si>
  <si>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</si>
  <si>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</si>
  <si>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</si>
  <si>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</si>
  <si>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</si>
  <si>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</si>
  <si>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</si>
  <si>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</si>
  <si>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</si>
  <si>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</si>
  <si>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</si>
  <si>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</si>
  <si>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</si>
  <si>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</si>
  <si>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</si>
  <si>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</si>
  <si>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</si>
  <si>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</si>
  <si>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</si>
  <si>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</si>
  <si>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</si>
  <si>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</si>
  <si>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</si>
  <si>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</si>
  <si>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</si>
  <si>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</si>
  <si>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</si>
  <si>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</si>
  <si>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</si>
  <si>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</si>
  <si>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</si>
  <si>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</si>
  <si>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</si>
  <si>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</si>
  <si>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</si>
  <si>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</si>
  <si>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</si>
  <si>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</si>
  <si>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</si>
  <si>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</si>
  <si>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</si>
  <si>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</si>
  <si>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</si>
  <si>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</si>
  <si>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</si>
  <si>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</si>
  <si>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</si>
  <si>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</si>
  <si>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</si>
  <si>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</si>
  <si>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</si>
  <si>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</si>
  <si>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</si>
  <si>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</si>
  <si>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</si>
  <si>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</si>
  <si>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</si>
  <si>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</si>
  <si>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</si>
  <si>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</si>
  <si>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</si>
  <si>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</si>
  <si>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</si>
  <si>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</si>
  <si>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</si>
  <si>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</si>
  <si>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</si>
  <si>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</si>
  <si>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</si>
  <si>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</si>
  <si>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</si>
  <si>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</si>
  <si>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</si>
  <si>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</si>
  <si>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</si>
  <si>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</si>
  <si>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</si>
  <si>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</si>
  <si>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</si>
  <si>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</si>
  <si>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</si>
  <si>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</si>
  <si>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</si>
  <si>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</si>
  <si>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</si>
  <si>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</si>
  <si>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</si>
  <si>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</si>
  <si>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</si>
  <si>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</si>
  <si>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</si>
  <si>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</si>
  <si>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</si>
  <si>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</si>
  <si>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</si>
  <si>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</si>
  <si>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</si>
  <si>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</si>
  <si>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</si>
  <si>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</si>
  <si>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</si>
  <si>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</si>
  <si>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</si>
  <si>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</si>
  <si>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</si>
  <si>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</si>
  <si>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</si>
  <si>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</si>
  <si>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</si>
  <si>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</si>
  <si>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</si>
  <si>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</si>
  <si>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</si>
  <si>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</si>
  <si>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</si>
  <si>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</si>
  <si>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</si>
  <si>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</si>
  <si>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</si>
  <si>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</si>
  <si>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</si>
  <si>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</si>
  <si>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</si>
  <si>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</si>
  <si>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</si>
  <si>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</si>
  <si>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</si>
  <si>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</si>
  <si>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</si>
  <si>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</si>
  <si>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</si>
  <si>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</si>
  <si>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</si>
  <si>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</si>
  <si>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</si>
  <si>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</si>
  <si>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</si>
  <si>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</si>
  <si>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</si>
  <si>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</si>
  <si>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</si>
  <si>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</si>
  <si>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</si>
  <si>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</si>
  <si>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</si>
  <si>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</si>
  <si>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</si>
  <si>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</si>
  <si>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</si>
  <si>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</si>
  <si>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</si>
  <si>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</si>
  <si>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</si>
  <si>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</si>
  <si>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</si>
  <si>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</si>
  <si>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</si>
  <si>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</si>
  <si>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</si>
  <si>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</si>
  <si>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</si>
  <si>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</si>
  <si>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</si>
  <si>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</si>
  <si>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</si>
  <si>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</si>
  <si>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</si>
  <si>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</si>
  <si>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</si>
  <si>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</si>
  <si>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</si>
  <si>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</si>
  <si>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</si>
  <si>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</si>
  <si>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</si>
  <si>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</si>
  <si>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</si>
  <si>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</si>
  <si>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</si>
  <si>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</si>
  <si>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</si>
  <si>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</si>
  <si>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</si>
  <si>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</si>
  <si>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</si>
  <si>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</si>
  <si>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</si>
  <si>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</si>
  <si>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</si>
  <si>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</si>
  <si>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</si>
  <si>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</si>
  <si>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</si>
  <si>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</si>
  <si>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</si>
  <si>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</si>
  <si>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</si>
  <si>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</si>
  <si>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</si>
  <si>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</si>
  <si>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</si>
  <si>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</si>
  <si>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</si>
  <si>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</si>
  <si>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</si>
  <si>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</si>
  <si>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</si>
  <si>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</si>
  <si>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</si>
  <si>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</si>
  <si>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</si>
  <si>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</si>
  <si>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</si>
  <si>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</si>
  <si>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</si>
  <si>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</si>
  <si>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</si>
  <si>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</si>
  <si>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</si>
  <si>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</si>
  <si>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</si>
  <si>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</si>
  <si>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</si>
  <si>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</si>
  <si>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</si>
  <si>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</si>
  <si>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</si>
  <si>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</si>
  <si>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</si>
  <si>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</si>
  <si>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</si>
  <si>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</si>
  <si>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</si>
  <si>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</si>
  <si>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</si>
  <si>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</si>
  <si>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</si>
  <si>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</si>
  <si>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</si>
  <si>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</si>
  <si>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</si>
  <si>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</si>
  <si>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</si>
  <si>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</si>
  <si>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</si>
  <si>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</si>
  <si>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</si>
  <si>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</si>
  <si>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</si>
  <si>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</si>
  <si>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</si>
  <si>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</si>
  <si>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</si>
  <si>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</si>
  <si>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</si>
  <si>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</si>
  <si>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</si>
  <si>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</si>
  <si>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</si>
  <si>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</si>
  <si>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</si>
  <si>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</si>
  <si>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</si>
  <si>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</si>
  <si>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</si>
  <si>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</si>
  <si>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</si>
  <si>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</si>
  <si>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</si>
  <si>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</si>
  <si>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</si>
  <si>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</si>
  <si>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</si>
  <si>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</si>
  <si>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</si>
  <si>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</si>
  <si>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</si>
  <si>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</si>
  <si>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</si>
  <si>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</si>
  <si>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</si>
  <si>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</si>
  <si>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</si>
  <si>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</si>
  <si>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</si>
  <si>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</si>
  <si>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</si>
  <si>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</si>
  <si>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</si>
  <si>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</si>
  <si>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</si>
  <si>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</si>
  <si>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</si>
  <si>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</si>
  <si>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</si>
  <si>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</si>
  <si>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</si>
  <si>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</si>
  <si>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</si>
  <si>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</si>
  <si>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</si>
  <si>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</si>
  <si>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</si>
  <si>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</si>
  <si>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</si>
  <si>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</si>
  <si>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</si>
  <si>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</si>
  <si>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</si>
  <si>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</si>
  <si>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</si>
  <si>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</si>
  <si>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</si>
  <si>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</si>
  <si>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</si>
  <si>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</si>
  <si>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</si>
  <si>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</si>
  <si>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</si>
  <si>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</si>
  <si>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</si>
  <si>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</si>
  <si>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</si>
  <si>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</si>
  <si>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</si>
  <si>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</si>
  <si>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</si>
  <si>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</si>
  <si>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</si>
  <si>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</si>
  <si>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</si>
  <si>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</si>
  <si>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</si>
  <si>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</si>
  <si>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</si>
  <si>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</si>
  <si>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</si>
  <si>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</si>
  <si>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</si>
  <si>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</si>
  <si>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</si>
  <si>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</si>
  <si>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</si>
  <si>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</si>
  <si>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</si>
  <si>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</si>
  <si>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</si>
  <si>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</si>
  <si>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</si>
  <si>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</si>
  <si>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</si>
  <si>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</si>
  <si>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</si>
  <si>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</si>
  <si>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</si>
  <si>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</si>
  <si>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</si>
  <si>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</si>
  <si>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</si>
  <si>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</si>
  <si>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</si>
  <si>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</si>
  <si>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</si>
  <si>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</si>
  <si>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</si>
  <si>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</si>
  <si>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</si>
  <si>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</si>
  <si>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</si>
  <si>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</si>
  <si>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</si>
  <si>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</si>
  <si>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</si>
  <si>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</si>
  <si>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</si>
  <si>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</si>
  <si>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</si>
  <si>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</si>
  <si>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</si>
  <si>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</si>
  <si>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</si>
  <si>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</si>
  <si>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</si>
  <si>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</si>
  <si>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</si>
  <si>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</si>
  <si>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</si>
  <si>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</si>
  <si>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</si>
  <si>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</si>
  <si>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</si>
  <si>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</si>
  <si>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</si>
  <si>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</si>
  <si>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</si>
  <si>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</si>
  <si>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</si>
  <si>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</si>
  <si>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</si>
  <si>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</si>
  <si>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</si>
  <si>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</si>
  <si>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</si>
  <si>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</si>
  <si>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</si>
  <si>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</si>
  <si>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</si>
  <si>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</si>
  <si>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</si>
  <si>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</si>
  <si>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</si>
  <si>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</si>
  <si>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</si>
  <si>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</si>
  <si>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</si>
  <si>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</si>
  <si>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</si>
  <si>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</si>
  <si>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</si>
  <si>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</si>
  <si>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</si>
  <si>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</si>
  <si>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</si>
  <si>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</si>
  <si>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</si>
  <si>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</si>
  <si>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</si>
  <si>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</si>
  <si>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</si>
  <si>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</si>
  <si>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</si>
  <si>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</si>
  <si>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</si>
  <si>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</si>
  <si>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</si>
  <si>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</si>
  <si>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</si>
  <si>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</si>
  <si>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</si>
  <si>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</si>
  <si>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</si>
  <si>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</si>
  <si>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</si>
  <si>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</si>
  <si>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</si>
  <si>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</si>
  <si>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</si>
  <si>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</si>
  <si>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</si>
  <si>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</si>
  <si>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</si>
  <si>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</si>
  <si>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</si>
  <si>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</si>
  <si>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</si>
  <si>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</si>
  <si>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</si>
  <si>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</si>
  <si>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</si>
  <si>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</si>
  <si>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</si>
  <si>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</si>
  <si>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</si>
  <si>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</si>
  <si>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</si>
  <si>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</si>
  <si>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</si>
  <si>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</si>
  <si>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</si>
  <si>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</si>
  <si>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</si>
  <si>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</si>
  <si>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</si>
  <si>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</si>
  <si>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</si>
  <si>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</si>
  <si>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</si>
  <si>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</si>
  <si>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</si>
  <si>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</si>
  <si>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</si>
  <si>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</si>
  <si>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</si>
  <si>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</si>
  <si>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</si>
  <si>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</si>
  <si>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</si>
  <si>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</si>
  <si>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</si>
  <si>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</si>
  <si>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</si>
  <si>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</si>
  <si>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</si>
  <si>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</si>
  <si>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</si>
  <si>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</si>
  <si>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</si>
  <si>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</si>
  <si>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</si>
  <si>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</si>
  <si>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</si>
  <si>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</si>
  <si>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</si>
  <si>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</si>
  <si>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</si>
  <si>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</si>
  <si>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</si>
  <si>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</si>
  <si>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</si>
  <si>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</si>
  <si>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</si>
  <si>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</si>
  <si>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</si>
  <si>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</si>
  <si>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</si>
  <si>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</si>
  <si>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</si>
  <si>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</si>
  <si>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</si>
  <si>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</si>
  <si>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</si>
  <si>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</si>
  <si>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</si>
  <si>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</si>
  <si>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</si>
  <si>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</si>
  <si>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</si>
  <si>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</si>
  <si>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</si>
  <si>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</si>
  <si>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</si>
  <si>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</si>
  <si>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</si>
  <si>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</si>
  <si>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</si>
  <si>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</si>
  <si>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</si>
  <si>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</si>
  <si>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</si>
  <si>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</si>
  <si>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</si>
  <si>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</si>
  <si>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</si>
  <si>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</si>
  <si>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</si>
  <si>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</si>
  <si>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</si>
  <si>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</si>
  <si>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</si>
  <si>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</si>
  <si>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</si>
  <si>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</si>
  <si>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</si>
  <si>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</si>
  <si>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</si>
  <si>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</si>
  <si>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</si>
  <si>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</si>
  <si>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</si>
  <si>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</si>
  <si>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</si>
  <si>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</si>
  <si>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</si>
  <si>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</si>
  <si>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</si>
  <si>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</si>
  <si>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</si>
  <si>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</si>
  <si>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</si>
  <si>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</si>
  <si>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</si>
  <si>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</si>
  <si>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</si>
  <si>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</si>
  <si>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</si>
  <si>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</si>
  <si>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</si>
  <si>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</si>
  <si>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</si>
  <si>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</si>
  <si>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</si>
  <si>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</si>
  <si>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</si>
  <si>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</si>
  <si>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</si>
  <si>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</si>
  <si>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</si>
  <si>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</si>
  <si>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</si>
  <si>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</si>
  <si>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</si>
  <si>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</si>
  <si>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</si>
  <si>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</si>
  <si>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</si>
  <si>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</si>
  <si>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</si>
  <si>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</si>
  <si>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</si>
  <si>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</si>
  <si>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</si>
  <si>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</si>
  <si>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</si>
  <si>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</si>
  <si>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</si>
  <si>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</si>
  <si>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</si>
  <si>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</si>
  <si>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</si>
  <si>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</si>
  <si>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</si>
  <si>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</si>
  <si>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</si>
  <si>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</si>
  <si>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</si>
  <si>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</si>
  <si>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</si>
  <si>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</si>
  <si>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</si>
  <si>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</si>
  <si>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</si>
  <si>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</si>
  <si>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</si>
  <si>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</si>
  <si>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</si>
  <si>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</si>
  <si>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</si>
  <si>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</si>
  <si>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</si>
  <si>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</si>
  <si>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</si>
  <si>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</si>
  <si>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</si>
  <si>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</si>
  <si>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</si>
  <si>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</si>
  <si>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</si>
  <si>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</si>
  <si>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</si>
  <si>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</si>
  <si>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</si>
  <si>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</si>
  <si>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</si>
  <si>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</si>
  <si>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</si>
  <si>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</si>
  <si>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</si>
  <si>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</si>
  <si>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</si>
  <si>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</si>
  <si>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</si>
  <si>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</si>
  <si>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</si>
  <si>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</si>
  <si>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</si>
  <si>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</si>
  <si>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</si>
  <si>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</si>
  <si>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</si>
  <si>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</si>
  <si>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</si>
  <si>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</si>
  <si>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</si>
  <si>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</si>
  <si>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</si>
  <si>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</si>
  <si>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</si>
  <si>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</si>
  <si>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</si>
  <si>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</si>
  <si>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</si>
  <si>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</si>
  <si>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</si>
  <si>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</si>
  <si>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</si>
  <si>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</si>
  <si>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</si>
  <si>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</si>
  <si>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</si>
  <si>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</si>
  <si>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</si>
  <si>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</si>
  <si>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</si>
  <si>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</si>
  <si>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</si>
  <si>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</si>
  <si>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</si>
  <si>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</si>
  <si>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</si>
  <si>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</si>
  <si>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</si>
  <si>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</si>
  <si>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</si>
  <si>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</si>
  <si>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</si>
  <si>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</si>
  <si>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</si>
  <si>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</si>
  <si>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</si>
  <si>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</si>
  <si>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</si>
  <si>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</si>
  <si>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</si>
  <si>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</si>
  <si>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</si>
  <si>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</si>
  <si>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</si>
  <si>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</si>
  <si>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</si>
  <si>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</si>
  <si>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</si>
  <si>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</si>
  <si>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</si>
  <si>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</si>
  <si>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</si>
  <si>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</si>
  <si>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</si>
  <si>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</si>
  <si>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</si>
  <si>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</si>
  <si>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</si>
  <si>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</si>
  <si>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</si>
  <si>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</si>
  <si>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</si>
  <si>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</si>
  <si>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</si>
  <si>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</si>
  <si>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</si>
  <si>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</si>
  <si>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</si>
  <si>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</si>
  <si>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</si>
  <si>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</si>
  <si>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</si>
  <si>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</si>
  <si>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</si>
  <si>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</si>
  <si>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</si>
  <si>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</si>
  <si>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</si>
  <si>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</si>
  <si>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</si>
  <si>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</si>
  <si>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</si>
  <si>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</si>
  <si>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</si>
  <si>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11024</t>
  </si>
  <si>
    <t>KONTICH</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</si>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</sst>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7BDAB6AB-19C1-49E5-8E49-CF8CE7555FCC}"/>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11024</v>
      </c>
      <c r="B6" s="384"/>
      <c r="C6" s="385"/>
    </row>
    <row r="7" spans="1:7" s="382" customFormat="1" ht="15.75" customHeight="1">
      <c r="A7" s="386" t="str">
        <f>txtMunicipality</f>
        <v>KONTICH</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0.21498567302168362</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0.21498567302168362</v>
      </c>
      <c r="C29" s="497">
        <f ca="1">'EF ele_warmte'!B22</f>
        <v>0.23764705882352943</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8361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900</v>
      </c>
      <c r="C14" s="327"/>
      <c r="D14" s="327"/>
      <c r="E14" s="327"/>
      <c r="F14" s="327"/>
    </row>
    <row r="15" spans="1:6">
      <c r="A15" s="1258" t="s">
        <v>177</v>
      </c>
      <c r="B15" s="1259">
        <v>349</v>
      </c>
      <c r="C15" s="327"/>
      <c r="D15" s="327"/>
      <c r="E15" s="327"/>
      <c r="F15" s="327"/>
    </row>
    <row r="16" spans="1:6">
      <c r="A16" s="1258" t="s">
        <v>6</v>
      </c>
      <c r="B16" s="1259">
        <v>760</v>
      </c>
      <c r="C16" s="327"/>
      <c r="D16" s="327"/>
      <c r="E16" s="327"/>
      <c r="F16" s="327"/>
    </row>
    <row r="17" spans="1:6">
      <c r="A17" s="1258" t="s">
        <v>7</v>
      </c>
      <c r="B17" s="1259">
        <v>77</v>
      </c>
      <c r="C17" s="327"/>
      <c r="D17" s="327"/>
      <c r="E17" s="327"/>
      <c r="F17" s="327"/>
    </row>
    <row r="18" spans="1:6">
      <c r="A18" s="1258" t="s">
        <v>8</v>
      </c>
      <c r="B18" s="1259">
        <v>488</v>
      </c>
      <c r="C18" s="327"/>
      <c r="D18" s="327"/>
      <c r="E18" s="327"/>
      <c r="F18" s="327"/>
    </row>
    <row r="19" spans="1:6">
      <c r="A19" s="1258" t="s">
        <v>9</v>
      </c>
      <c r="B19" s="1259">
        <v>457</v>
      </c>
      <c r="C19" s="327"/>
      <c r="D19" s="327"/>
      <c r="E19" s="327"/>
      <c r="F19" s="327"/>
    </row>
    <row r="20" spans="1:6">
      <c r="A20" s="1258" t="s">
        <v>10</v>
      </c>
      <c r="B20" s="1259">
        <v>392</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168</v>
      </c>
      <c r="C26" s="327"/>
      <c r="D26" s="327"/>
      <c r="E26" s="327"/>
      <c r="F26" s="327"/>
    </row>
    <row r="27" spans="1:6">
      <c r="A27" s="1258" t="s">
        <v>17</v>
      </c>
      <c r="B27" s="1259">
        <v>3</v>
      </c>
      <c r="C27" s="327"/>
      <c r="D27" s="327"/>
      <c r="E27" s="327"/>
      <c r="F27" s="327"/>
    </row>
    <row r="28" spans="1:6">
      <c r="A28" s="1258" t="s">
        <v>18</v>
      </c>
      <c r="B28" s="1260">
        <v>0</v>
      </c>
      <c r="C28" s="327"/>
      <c r="D28" s="327"/>
      <c r="E28" s="327"/>
      <c r="F28" s="327"/>
    </row>
    <row r="29" spans="1:6">
      <c r="A29" s="1258" t="s">
        <v>939</v>
      </c>
      <c r="B29" s="1260">
        <v>67</v>
      </c>
      <c r="C29" s="327"/>
      <c r="D29" s="327"/>
      <c r="E29" s="327"/>
      <c r="F29" s="327"/>
    </row>
    <row r="30" spans="1:6">
      <c r="A30" s="1253" t="s">
        <v>940</v>
      </c>
      <c r="B30" s="1261">
        <v>18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24875787.227079701</v>
      </c>
      <c r="E38" s="1259">
        <v>5</v>
      </c>
      <c r="F38" s="1259">
        <v>332242.16489653703</v>
      </c>
    </row>
    <row r="39" spans="1:6">
      <c r="A39" s="1258" t="s">
        <v>29</v>
      </c>
      <c r="B39" s="1258" t="s">
        <v>30</v>
      </c>
      <c r="C39" s="1259">
        <v>6702</v>
      </c>
      <c r="D39" s="1259">
        <v>125233175.972124</v>
      </c>
      <c r="E39" s="1259">
        <v>8329</v>
      </c>
      <c r="F39" s="1259">
        <v>36564989.051231898</v>
      </c>
    </row>
    <row r="40" spans="1:6">
      <c r="A40" s="1258" t="s">
        <v>29</v>
      </c>
      <c r="B40" s="1258" t="s">
        <v>28</v>
      </c>
      <c r="C40" s="1259">
        <v>0</v>
      </c>
      <c r="D40" s="1259">
        <v>0</v>
      </c>
      <c r="E40" s="1259">
        <v>1</v>
      </c>
      <c r="F40" s="1259">
        <v>0.33558744629999998</v>
      </c>
    </row>
    <row r="41" spans="1:6">
      <c r="A41" s="1258" t="s">
        <v>31</v>
      </c>
      <c r="B41" s="1258" t="s">
        <v>32</v>
      </c>
      <c r="C41" s="1259">
        <v>71</v>
      </c>
      <c r="D41" s="1259">
        <v>5702413.0648296103</v>
      </c>
      <c r="E41" s="1259">
        <v>144</v>
      </c>
      <c r="F41" s="1259">
        <v>3516360.4101148802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6</v>
      </c>
      <c r="D44" s="1259">
        <v>195120.71944039001</v>
      </c>
      <c r="E44" s="1259">
        <v>20</v>
      </c>
      <c r="F44" s="1259">
        <v>437476.150985574</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145236.57982493201</v>
      </c>
      <c r="E47" s="1259">
        <v>5</v>
      </c>
      <c r="F47" s="1259">
        <v>1644127.26585828</v>
      </c>
    </row>
    <row r="48" spans="1:6">
      <c r="A48" s="1258" t="s">
        <v>31</v>
      </c>
      <c r="B48" s="1258" t="s">
        <v>28</v>
      </c>
      <c r="C48" s="1259">
        <v>39</v>
      </c>
      <c r="D48" s="1259">
        <v>5693090.5754053704</v>
      </c>
      <c r="E48" s="1259">
        <v>36</v>
      </c>
      <c r="F48" s="1259">
        <v>4288478.0836240798</v>
      </c>
    </row>
    <row r="49" spans="1:6">
      <c r="A49" s="1258" t="s">
        <v>31</v>
      </c>
      <c r="B49" s="1258" t="s">
        <v>39</v>
      </c>
      <c r="C49" s="1259">
        <v>0</v>
      </c>
      <c r="D49" s="1259">
        <v>0</v>
      </c>
      <c r="E49" s="1259">
        <v>4</v>
      </c>
      <c r="F49" s="1259">
        <v>164504.86154821399</v>
      </c>
    </row>
    <row r="50" spans="1:6">
      <c r="A50" s="1258" t="s">
        <v>31</v>
      </c>
      <c r="B50" s="1258" t="s">
        <v>40</v>
      </c>
      <c r="C50" s="1259">
        <v>16</v>
      </c>
      <c r="D50" s="1259">
        <v>2320409.5466237799</v>
      </c>
      <c r="E50" s="1259">
        <v>17</v>
      </c>
      <c r="F50" s="1259">
        <v>1787882.3104236701</v>
      </c>
    </row>
    <row r="51" spans="1:6">
      <c r="A51" s="1258" t="s">
        <v>41</v>
      </c>
      <c r="B51" s="1258" t="s">
        <v>42</v>
      </c>
      <c r="C51" s="1259">
        <v>7</v>
      </c>
      <c r="D51" s="1259">
        <v>71550069.108834594</v>
      </c>
      <c r="E51" s="1259">
        <v>54</v>
      </c>
      <c r="F51" s="1259">
        <v>1286832.17113183</v>
      </c>
    </row>
    <row r="52" spans="1:6">
      <c r="A52" s="1258" t="s">
        <v>41</v>
      </c>
      <c r="B52" s="1258" t="s">
        <v>28</v>
      </c>
      <c r="C52" s="1259">
        <v>3</v>
      </c>
      <c r="D52" s="1259">
        <v>28776.3997643984</v>
      </c>
      <c r="E52" s="1259">
        <v>8</v>
      </c>
      <c r="F52" s="1259">
        <v>198735.99566356899</v>
      </c>
    </row>
    <row r="53" spans="1:6">
      <c r="A53" s="1258" t="s">
        <v>43</v>
      </c>
      <c r="B53" s="1258" t="s">
        <v>44</v>
      </c>
      <c r="C53" s="1259">
        <v>133</v>
      </c>
      <c r="D53" s="1259">
        <v>4128531.9186262698</v>
      </c>
      <c r="E53" s="1259">
        <v>243</v>
      </c>
      <c r="F53" s="1259">
        <v>1220147.4369075701</v>
      </c>
    </row>
    <row r="54" spans="1:6">
      <c r="A54" s="1258" t="s">
        <v>45</v>
      </c>
      <c r="B54" s="1258" t="s">
        <v>46</v>
      </c>
      <c r="C54" s="1259">
        <v>0</v>
      </c>
      <c r="D54" s="1259">
        <v>0</v>
      </c>
      <c r="E54" s="1259">
        <v>1</v>
      </c>
      <c r="F54" s="1259">
        <v>1347917</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40</v>
      </c>
      <c r="D57" s="1259">
        <v>4197863.76932975</v>
      </c>
      <c r="E57" s="1259">
        <v>66</v>
      </c>
      <c r="F57" s="1259">
        <v>2520477.4728961098</v>
      </c>
    </row>
    <row r="58" spans="1:6">
      <c r="A58" s="1258" t="s">
        <v>48</v>
      </c>
      <c r="B58" s="1258" t="s">
        <v>50</v>
      </c>
      <c r="C58" s="1259">
        <v>38</v>
      </c>
      <c r="D58" s="1259">
        <v>3015839.1981084002</v>
      </c>
      <c r="E58" s="1259">
        <v>47</v>
      </c>
      <c r="F58" s="1259">
        <v>1163472.23510105</v>
      </c>
    </row>
    <row r="59" spans="1:6">
      <c r="A59" s="1258" t="s">
        <v>48</v>
      </c>
      <c r="B59" s="1258" t="s">
        <v>51</v>
      </c>
      <c r="C59" s="1259">
        <v>168</v>
      </c>
      <c r="D59" s="1259">
        <v>21348851.746643499</v>
      </c>
      <c r="E59" s="1259">
        <v>302</v>
      </c>
      <c r="F59" s="1259">
        <v>17189635.330011699</v>
      </c>
    </row>
    <row r="60" spans="1:6">
      <c r="A60" s="1258" t="s">
        <v>48</v>
      </c>
      <c r="B60" s="1258" t="s">
        <v>52</v>
      </c>
      <c r="C60" s="1259">
        <v>56</v>
      </c>
      <c r="D60" s="1259">
        <v>3232869.99320644</v>
      </c>
      <c r="E60" s="1259">
        <v>64</v>
      </c>
      <c r="F60" s="1259">
        <v>2358016.76242417</v>
      </c>
    </row>
    <row r="61" spans="1:6">
      <c r="A61" s="1258" t="s">
        <v>48</v>
      </c>
      <c r="B61" s="1258" t="s">
        <v>53</v>
      </c>
      <c r="C61" s="1259">
        <v>251</v>
      </c>
      <c r="D61" s="1259">
        <v>18788387.327971499</v>
      </c>
      <c r="E61" s="1259">
        <v>508</v>
      </c>
      <c r="F61" s="1259">
        <v>17906136.2175292</v>
      </c>
    </row>
    <row r="62" spans="1:6">
      <c r="A62" s="1258" t="s">
        <v>48</v>
      </c>
      <c r="B62" s="1258" t="s">
        <v>54</v>
      </c>
      <c r="C62" s="1259">
        <v>10</v>
      </c>
      <c r="D62" s="1259">
        <v>1544735.0887653099</v>
      </c>
      <c r="E62" s="1259">
        <v>12</v>
      </c>
      <c r="F62" s="1259">
        <v>794755.13464083802</v>
      </c>
    </row>
    <row r="63" spans="1:6">
      <c r="A63" s="1258" t="s">
        <v>48</v>
      </c>
      <c r="B63" s="1258" t="s">
        <v>28</v>
      </c>
      <c r="C63" s="1259">
        <v>115</v>
      </c>
      <c r="D63" s="1259">
        <v>18421495.409244999</v>
      </c>
      <c r="E63" s="1259">
        <v>113</v>
      </c>
      <c r="F63" s="1259">
        <v>3525379.3838026598</v>
      </c>
    </row>
    <row r="64" spans="1:6">
      <c r="A64" s="1258" t="s">
        <v>55</v>
      </c>
      <c r="B64" s="1258" t="s">
        <v>56</v>
      </c>
      <c r="C64" s="1259">
        <v>0</v>
      </c>
      <c r="D64" s="1259">
        <v>0</v>
      </c>
      <c r="E64" s="1259">
        <v>0</v>
      </c>
      <c r="F64" s="1259">
        <v>0</v>
      </c>
    </row>
    <row r="65" spans="1:6">
      <c r="A65" s="1258" t="s">
        <v>55</v>
      </c>
      <c r="B65" s="1258" t="s">
        <v>28</v>
      </c>
      <c r="C65" s="1259">
        <v>1</v>
      </c>
      <c r="D65" s="1259">
        <v>36561.283324118398</v>
      </c>
      <c r="E65" s="1259">
        <v>1</v>
      </c>
      <c r="F65" s="1259">
        <v>6233.4696916231997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45813.591112468501</v>
      </c>
      <c r="E68" s="1261">
        <v>8</v>
      </c>
      <c r="F68" s="1261">
        <v>231225.80618697501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134354633</v>
      </c>
      <c r="E73" s="445"/>
      <c r="F73" s="327"/>
    </row>
    <row r="74" spans="1:6">
      <c r="A74" s="1258" t="s">
        <v>63</v>
      </c>
      <c r="B74" s="1258" t="s">
        <v>724</v>
      </c>
      <c r="C74" s="1271" t="s">
        <v>718</v>
      </c>
      <c r="D74" s="1259">
        <v>22317768.940452613</v>
      </c>
      <c r="E74" s="445"/>
      <c r="F74" s="327"/>
    </row>
    <row r="75" spans="1:6">
      <c r="A75" s="1258" t="s">
        <v>64</v>
      </c>
      <c r="B75" s="1258" t="s">
        <v>723</v>
      </c>
      <c r="C75" s="1271" t="s">
        <v>719</v>
      </c>
      <c r="D75" s="1259">
        <v>32312562</v>
      </c>
      <c r="E75" s="445"/>
      <c r="F75" s="327"/>
    </row>
    <row r="76" spans="1:6">
      <c r="A76" s="1258" t="s">
        <v>64</v>
      </c>
      <c r="B76" s="1258" t="s">
        <v>724</v>
      </c>
      <c r="C76" s="1271" t="s">
        <v>720</v>
      </c>
      <c r="D76" s="1259">
        <v>3503060.9404526134</v>
      </c>
      <c r="E76" s="445"/>
      <c r="F76" s="327"/>
    </row>
    <row r="77" spans="1:6">
      <c r="A77" s="1258" t="s">
        <v>65</v>
      </c>
      <c r="B77" s="1258" t="s">
        <v>723</v>
      </c>
      <c r="C77" s="1271" t="s">
        <v>721</v>
      </c>
      <c r="D77" s="1259">
        <v>195309524</v>
      </c>
      <c r="E77" s="445"/>
      <c r="F77" s="327"/>
    </row>
    <row r="78" spans="1:6">
      <c r="A78" s="1253" t="s">
        <v>65</v>
      </c>
      <c r="B78" s="1253" t="s">
        <v>724</v>
      </c>
      <c r="C78" s="1253" t="s">
        <v>722</v>
      </c>
      <c r="D78" s="1261">
        <v>21085727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581896.11909477331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2523.1650198036527</v>
      </c>
      <c r="C91" s="327"/>
      <c r="D91" s="327"/>
      <c r="E91" s="327"/>
      <c r="F91" s="327"/>
    </row>
    <row r="92" spans="1:6">
      <c r="A92" s="1253" t="s">
        <v>68</v>
      </c>
      <c r="B92" s="1254">
        <v>4021.7854675427375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5036</v>
      </c>
      <c r="C97" s="327"/>
      <c r="D97" s="327"/>
      <c r="E97" s="327"/>
      <c r="F97" s="327"/>
    </row>
    <row r="98" spans="1:6">
      <c r="A98" s="1258" t="s">
        <v>71</v>
      </c>
      <c r="B98" s="1259">
        <v>8</v>
      </c>
      <c r="C98" s="327"/>
      <c r="D98" s="327"/>
      <c r="E98" s="327"/>
      <c r="F98" s="327"/>
    </row>
    <row r="99" spans="1:6">
      <c r="A99" s="1258" t="s">
        <v>72</v>
      </c>
      <c r="B99" s="1259">
        <v>24</v>
      </c>
      <c r="C99" s="327"/>
      <c r="D99" s="327"/>
      <c r="E99" s="327"/>
      <c r="F99" s="327"/>
    </row>
    <row r="100" spans="1:6">
      <c r="A100" s="1258" t="s">
        <v>73</v>
      </c>
      <c r="B100" s="1259">
        <v>636</v>
      </c>
      <c r="C100" s="327"/>
      <c r="D100" s="327"/>
      <c r="E100" s="327"/>
      <c r="F100" s="327"/>
    </row>
    <row r="101" spans="1:6">
      <c r="A101" s="1258" t="s">
        <v>74</v>
      </c>
      <c r="B101" s="1259">
        <v>60</v>
      </c>
      <c r="C101" s="327"/>
      <c r="D101" s="327"/>
      <c r="E101" s="327"/>
      <c r="F101" s="327"/>
    </row>
    <row r="102" spans="1:6">
      <c r="A102" s="1258" t="s">
        <v>75</v>
      </c>
      <c r="B102" s="1259">
        <v>89</v>
      </c>
      <c r="C102" s="327"/>
      <c r="D102" s="327"/>
      <c r="E102" s="327"/>
      <c r="F102" s="327"/>
    </row>
    <row r="103" spans="1:6">
      <c r="A103" s="1258" t="s">
        <v>76</v>
      </c>
      <c r="B103" s="1259">
        <v>100</v>
      </c>
      <c r="C103" s="327"/>
      <c r="D103" s="327"/>
      <c r="E103" s="327"/>
      <c r="F103" s="327"/>
    </row>
    <row r="104" spans="1:6">
      <c r="A104" s="1258" t="s">
        <v>77</v>
      </c>
      <c r="B104" s="1259">
        <v>1453</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v>
      </c>
      <c r="C123" s="1259">
        <v>10</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59</v>
      </c>
      <c r="C129" s="327"/>
      <c r="D129" s="327"/>
      <c r="E129" s="327"/>
      <c r="F129" s="327"/>
    </row>
    <row r="130" spans="1:6">
      <c r="A130" s="1258" t="s">
        <v>284</v>
      </c>
      <c r="B130" s="1259">
        <v>0</v>
      </c>
      <c r="C130" s="327"/>
      <c r="D130" s="327"/>
      <c r="E130" s="327"/>
      <c r="F130" s="327"/>
    </row>
    <row r="131" spans="1:6">
      <c r="A131" s="1258" t="s">
        <v>285</v>
      </c>
      <c r="B131" s="1259">
        <v>2</v>
      </c>
      <c r="C131" s="327"/>
      <c r="D131" s="327"/>
      <c r="E131" s="327"/>
      <c r="F131" s="327"/>
    </row>
    <row r="132" spans="1:6">
      <c r="A132" s="1253" t="s">
        <v>286</v>
      </c>
      <c r="B132" s="1254">
        <v>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109590.21899225586</v>
      </c>
      <c r="C3" s="44" t="s">
        <v>163</v>
      </c>
      <c r="D3" s="44"/>
      <c r="E3" s="157"/>
      <c r="F3" s="44"/>
      <c r="G3" s="44"/>
      <c r="H3" s="44"/>
      <c r="I3" s="44"/>
      <c r="J3" s="44"/>
      <c r="K3" s="97"/>
    </row>
    <row r="4" spans="1:11">
      <c r="A4" s="352" t="s">
        <v>164</v>
      </c>
      <c r="B4" s="50">
        <f>IF(ISERROR('SEAP template'!B78+'SEAP template'!C78),0,'SEAP template'!B78+'SEAP template'!C78)</f>
        <v>53839.950487346388</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11239.517647058825</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0.21498567302168362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16056.453781512606</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67564.28571428571</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0.23764705882352943</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1347.9169999999999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1347.9169999999999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0.21498567302168362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289.78284342236867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36564.989386819347</v>
      </c>
      <c r="C5" s="18">
        <f>IF(ISERROR('Eigen informatie GS &amp; warmtenet'!B57),0,'Eigen informatie GS &amp; warmtenet'!B57)</f>
        <v>0</v>
      </c>
      <c r="D5" s="31">
        <f>(SUM(HH_hh_gas_kWh,HH_rest_gas_kWh)/1000)*0.902</f>
        <v>112960.32472685585</v>
      </c>
      <c r="E5" s="18">
        <f>B32*B41</f>
        <v>1033.0129130359589</v>
      </c>
      <c r="F5" s="18">
        <f>B36*B45</f>
        <v>31493.564576350946</v>
      </c>
      <c r="G5" s="19"/>
      <c r="H5" s="18"/>
      <c r="I5" s="18"/>
      <c r="J5" s="18">
        <f>B35*B44+C35*C44</f>
        <v>571.43975543651493</v>
      </c>
      <c r="K5" s="18"/>
      <c r="L5" s="18"/>
      <c r="M5" s="18"/>
      <c r="N5" s="18">
        <f>B34*B43+C34*C43</f>
        <v>11389.536147632009</v>
      </c>
      <c r="O5" s="18">
        <f>B52*B53*B54</f>
        <v>107.87</v>
      </c>
      <c r="P5" s="18">
        <f>B60*B61*B62/1000-B60*B61*B62/1000/B63</f>
        <v>152.53333333333333</v>
      </c>
    </row>
    <row r="6" spans="1:16">
      <c r="A6" s="17" t="s">
        <v>597</v>
      </c>
      <c r="B6" s="731">
        <f>kWh_PV_kleiner_dan_10kW</f>
        <v>2523.1650198036527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39088.154406622998</v>
      </c>
      <c r="C8" s="22">
        <f>C5</f>
        <v>0</v>
      </c>
      <c r="D8" s="22">
        <f>D5</f>
        <v>112960.32472685585</v>
      </c>
      <c r="E8" s="22">
        <f>E5</f>
        <v>1033.0129130359589</v>
      </c>
      <c r="F8" s="22">
        <f>F5</f>
        <v>31493.564576350946</v>
      </c>
      <c r="G8" s="22"/>
      <c r="H8" s="22"/>
      <c r="I8" s="22"/>
      <c r="J8" s="22">
        <f>J5</f>
        <v>571.43975543651493</v>
      </c>
      <c r="K8" s="22"/>
      <c r="L8" s="22">
        <f>L5</f>
        <v>0</v>
      </c>
      <c r="M8" s="22">
        <f>M5</f>
        <v>0</v>
      </c>
      <c r="N8" s="22">
        <f>N5</f>
        <v>11389.536147632009</v>
      </c>
      <c r="O8" s="22">
        <f>O5</f>
        <v>107.87</v>
      </c>
      <c r="P8" s="22">
        <f>P5</f>
        <v>152.53333333333333</v>
      </c>
    </row>
    <row r="9" spans="1:16">
      <c r="B9" s="20"/>
      <c r="C9" s="20"/>
      <c r="D9" s="258"/>
      <c r="E9" s="20"/>
      <c r="F9" s="20"/>
      <c r="G9" s="20"/>
      <c r="H9" s="20"/>
      <c r="I9" s="20"/>
      <c r="J9" s="20"/>
      <c r="K9" s="20"/>
      <c r="L9" s="20"/>
      <c r="M9" s="20"/>
      <c r="N9" s="20"/>
      <c r="O9" s="20"/>
      <c r="P9" s="20"/>
    </row>
    <row r="10" spans="1:16">
      <c r="A10" s="25" t="s">
        <v>207</v>
      </c>
      <c r="B10" s="26">
        <f ca="1">'EF ele_warmte'!B12</f>
        <v>0.21498567302168362</v>
      </c>
      <c r="C10" s="26">
        <f ca="1">'EF ele_warmte'!B22</f>
        <v>0.23764705882352943</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8403.3931822833329</v>
      </c>
      <c r="C12" s="24">
        <f ca="1">C10*C8</f>
        <v>0</v>
      </c>
      <c r="D12" s="24">
        <f>D8*D10</f>
        <v>22817.985594824884</v>
      </c>
      <c r="E12" s="24">
        <f>E10*E8</f>
        <v>234.49393125916268</v>
      </c>
      <c r="F12" s="24">
        <f>F10*F8</f>
        <v>8408.781741885703</v>
      </c>
      <c r="G12" s="24"/>
      <c r="H12" s="24"/>
      <c r="I12" s="24"/>
      <c r="J12" s="24">
        <f>J10*J8</f>
        <v>202.28967342452628</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8361</v>
      </c>
      <c r="C26" s="37"/>
      <c r="D26" s="228"/>
    </row>
    <row r="27" spans="1:5" s="16" customFormat="1">
      <c r="A27" s="230" t="s">
        <v>623</v>
      </c>
      <c r="B27" s="38">
        <f>SUM(HH_hh_gas_aantal,HH_rest_gas_aantal)</f>
        <v>6702</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6366.9</v>
      </c>
      <c r="C31" s="35" t="s">
        <v>104</v>
      </c>
      <c r="D31" s="174"/>
    </row>
    <row r="32" spans="1:5">
      <c r="A32" s="171" t="s">
        <v>72</v>
      </c>
      <c r="B32" s="34">
        <f>IF((B21*($B$26-($B$27-0.05*$B$27)-$B$60))&lt;0,0,B21*($B$26-($B$27-0.05*$B$27)-$B$60))</f>
        <v>48.809064041837182</v>
      </c>
      <c r="C32" s="35" t="s">
        <v>104</v>
      </c>
      <c r="D32" s="174"/>
    </row>
    <row r="33" spans="1:6">
      <c r="A33" s="171" t="s">
        <v>73</v>
      </c>
      <c r="B33" s="34">
        <f>IF((B22*($B$26-($B$27-0.05*$B$27)-$B$60))&lt;0,0,B22*($B$26-($B$27-0.05*$B$27)-$B$60))</f>
        <v>328.5422462001319</v>
      </c>
      <c r="C33" s="35" t="s">
        <v>104</v>
      </c>
      <c r="D33" s="174"/>
    </row>
    <row r="34" spans="1:6">
      <c r="A34" s="171" t="s">
        <v>74</v>
      </c>
      <c r="B34" s="34">
        <f>IF((B24*($B$26-($B$27-0.05*$B$27)-$B$60))&lt;0,0,B24*($B$26-($B$27-0.05*$B$27)-$B$60))</f>
        <v>83.325238679422498</v>
      </c>
      <c r="C34" s="34">
        <f>B26*C24</f>
        <v>1709.8439616411131</v>
      </c>
      <c r="D34" s="233"/>
    </row>
    <row r="35" spans="1:6">
      <c r="A35" s="171" t="s">
        <v>76</v>
      </c>
      <c r="B35" s="34">
        <f>IF((B19*($B$26-($B$27-0.05*$B$27)-$B$60))&lt;0,0,B19*($B$26-($B$27-0.05*$B$27)-$B$60))</f>
        <v>30.977686838898524</v>
      </c>
      <c r="C35" s="34">
        <f>B35/2</f>
        <v>15.488843419449262</v>
      </c>
      <c r="D35" s="233"/>
    </row>
    <row r="36" spans="1:6">
      <c r="A36" s="171" t="s">
        <v>77</v>
      </c>
      <c r="B36" s="34">
        <f>IF((B18*($B$26-($B$27-0.05*$B$27)-$B$60))&lt;0,0,B18*($B$26-($B$27-0.05*$B$27)-$B$60))</f>
        <v>1494.4457642397097</v>
      </c>
      <c r="C36" s="35" t="s">
        <v>104</v>
      </c>
      <c r="D36" s="174"/>
    </row>
    <row r="37" spans="1:6">
      <c r="A37" s="171" t="s">
        <v>78</v>
      </c>
      <c r="B37" s="34">
        <f>B60</f>
        <v>8</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69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8</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45457.872536405732</v>
      </c>
      <c r="C5" s="18">
        <f>IF(ISERROR('Eigen informatie GS &amp; warmtenet'!B58),0,'Eigen informatie GS &amp; warmtenet'!B58)</f>
        <v>0</v>
      </c>
      <c r="D5" s="31">
        <f>SUM(D6:D12)</f>
        <v>63636.13836500945</v>
      </c>
      <c r="E5" s="18">
        <f>SUM(E6:E12)</f>
        <v>294.1337645621856</v>
      </c>
      <c r="F5" s="18">
        <f>SUM(F6:F12)</f>
        <v>8079.9789314642394</v>
      </c>
      <c r="G5" s="19"/>
      <c r="H5" s="18"/>
      <c r="I5" s="18"/>
      <c r="J5" s="18">
        <f>SUM(J6:J12)</f>
        <v>0</v>
      </c>
      <c r="K5" s="18"/>
      <c r="L5" s="18"/>
      <c r="M5" s="18"/>
      <c r="N5" s="18">
        <f>SUM(N6:N12)</f>
        <v>1628.0333906421436</v>
      </c>
      <c r="O5" s="18">
        <f>B38*B39*B40</f>
        <v>0</v>
      </c>
      <c r="P5" s="18">
        <f>B46*B47*B48/1000-B46*B47*B48/1000/B49</f>
        <v>38.133333333333333</v>
      </c>
      <c r="R5" s="33"/>
    </row>
    <row r="6" spans="1:18">
      <c r="A6" s="33" t="s">
        <v>53</v>
      </c>
      <c r="B6" s="38">
        <f>B26</f>
        <v>17906.136217529202</v>
      </c>
      <c r="C6" s="34"/>
      <c r="D6" s="38">
        <f>IF(ISERROR(TER_kantoor_gas_kWh/1000),0,TER_kantoor_gas_kWh/1000)*0.902</f>
        <v>16947.125369830293</v>
      </c>
      <c r="E6" s="34">
        <f>$C$26*'E Balans VL '!I12/100/3.6*1000000</f>
        <v>29.250211969382711</v>
      </c>
      <c r="F6" s="34">
        <f>$C$26*('E Balans VL '!L12+'E Balans VL '!N12)/100/3.6*1000000</f>
        <v>2103.6492248250274</v>
      </c>
      <c r="G6" s="35"/>
      <c r="H6" s="34"/>
      <c r="I6" s="34"/>
      <c r="J6" s="34">
        <f>$C$26*('E Balans VL '!D12+'E Balans VL '!E12)/100/3.6*1000000</f>
        <v>0</v>
      </c>
      <c r="K6" s="34"/>
      <c r="L6" s="34"/>
      <c r="M6" s="34"/>
      <c r="N6" s="34">
        <f>$C$26*'E Balans VL '!Y12/100/3.6*1000000</f>
        <v>130.3795737745603</v>
      </c>
      <c r="O6" s="34"/>
      <c r="P6" s="34"/>
      <c r="R6" s="33"/>
    </row>
    <row r="7" spans="1:18">
      <c r="A7" s="33" t="s">
        <v>52</v>
      </c>
      <c r="B7" s="38">
        <f t="shared" ref="B7:B12" si="0">B27</f>
        <v>2358.0167624241699</v>
      </c>
      <c r="C7" s="34"/>
      <c r="D7" s="38">
        <f>IF(ISERROR(TER_horeca_gas_kWh/1000),0,TER_horeca_gas_kWh/1000)*0.902</f>
        <v>2916.0487338722091</v>
      </c>
      <c r="E7" s="34">
        <f>$C$27*'E Balans VL '!I9/100/3.6*1000000</f>
        <v>121.99658690979307</v>
      </c>
      <c r="F7" s="34">
        <f>$C$27*('E Balans VL '!L9+'E Balans VL '!N9)/100/3.6*1000000</f>
        <v>536.4853900834928</v>
      </c>
      <c r="G7" s="35"/>
      <c r="H7" s="34"/>
      <c r="I7" s="34"/>
      <c r="J7" s="34">
        <f>$C$27*('E Balans VL '!D9+'E Balans VL '!E9)/100/3.6*1000000</f>
        <v>0</v>
      </c>
      <c r="K7" s="34"/>
      <c r="L7" s="34"/>
      <c r="M7" s="34"/>
      <c r="N7" s="34">
        <f>$C$27*'E Balans VL '!Y9/100/3.6*1000000</f>
        <v>0.24825795134823489</v>
      </c>
      <c r="O7" s="34"/>
      <c r="P7" s="34"/>
      <c r="R7" s="33"/>
    </row>
    <row r="8" spans="1:18">
      <c r="A8" s="6" t="s">
        <v>51</v>
      </c>
      <c r="B8" s="38">
        <f t="shared" si="0"/>
        <v>17189.635330011701</v>
      </c>
      <c r="C8" s="34"/>
      <c r="D8" s="38">
        <f>IF(ISERROR(TER_handel_gas_kWh/1000),0,TER_handel_gas_kWh/1000)*0.902</f>
        <v>19256.664275472434</v>
      </c>
      <c r="E8" s="34">
        <f>$C$28*'E Balans VL '!I13/100/3.6*1000000</f>
        <v>90.292788390742075</v>
      </c>
      <c r="F8" s="34">
        <f>$C$28*('E Balans VL '!L13+'E Balans VL '!N13)/100/3.6*1000000</f>
        <v>3240.8219471682751</v>
      </c>
      <c r="G8" s="35"/>
      <c r="H8" s="34"/>
      <c r="I8" s="34"/>
      <c r="J8" s="34">
        <f>$C$28*('E Balans VL '!D13+'E Balans VL '!E13)/100/3.6*1000000</f>
        <v>0</v>
      </c>
      <c r="K8" s="34"/>
      <c r="L8" s="34"/>
      <c r="M8" s="34"/>
      <c r="N8" s="34">
        <f>$C$28*'E Balans VL '!Y13/100/3.6*1000000</f>
        <v>85.21837489598866</v>
      </c>
      <c r="O8" s="34"/>
      <c r="P8" s="34"/>
      <c r="R8" s="33"/>
    </row>
    <row r="9" spans="1:18">
      <c r="A9" s="33" t="s">
        <v>50</v>
      </c>
      <c r="B9" s="38">
        <f t="shared" si="0"/>
        <v>1163.47223510105</v>
      </c>
      <c r="C9" s="34"/>
      <c r="D9" s="38">
        <f>IF(ISERROR(TER_gezond_gas_kWh/1000),0,TER_gezond_gas_kWh/1000)*0.902</f>
        <v>2720.286956693777</v>
      </c>
      <c r="E9" s="34">
        <f>$C$29*'E Balans VL '!I10/100/3.6*1000000</f>
        <v>1.0328649039865863</v>
      </c>
      <c r="F9" s="34">
        <f>$C$29*('E Balans VL '!L10+'E Balans VL '!N10)/100/3.6*1000000</f>
        <v>361.62486187056595</v>
      </c>
      <c r="G9" s="35"/>
      <c r="H9" s="34"/>
      <c r="I9" s="34"/>
      <c r="J9" s="34">
        <f>$C$29*('E Balans VL '!D10+'E Balans VL '!E10)/100/3.6*1000000</f>
        <v>0</v>
      </c>
      <c r="K9" s="34"/>
      <c r="L9" s="34"/>
      <c r="M9" s="34"/>
      <c r="N9" s="34">
        <f>$C$29*'E Balans VL '!Y10/100/3.6*1000000</f>
        <v>8.9808327662837701</v>
      </c>
      <c r="O9" s="34"/>
      <c r="P9" s="34"/>
      <c r="R9" s="33"/>
    </row>
    <row r="10" spans="1:18">
      <c r="A10" s="33" t="s">
        <v>49</v>
      </c>
      <c r="B10" s="38">
        <f t="shared" si="0"/>
        <v>2520.4774728961097</v>
      </c>
      <c r="C10" s="34"/>
      <c r="D10" s="38">
        <f>IF(ISERROR(TER_ander_gas_kWh/1000),0,TER_ander_gas_kWh/1000)*0.902</f>
        <v>3786.4731199354342</v>
      </c>
      <c r="E10" s="34">
        <f>$C$30*'E Balans VL '!I14/100/3.6*1000000</f>
        <v>20.558110408760879</v>
      </c>
      <c r="F10" s="34">
        <f>$C$30*('E Balans VL '!L14+'E Balans VL '!N14)/100/3.6*1000000</f>
        <v>734.67238784246092</v>
      </c>
      <c r="G10" s="35"/>
      <c r="H10" s="34"/>
      <c r="I10" s="34"/>
      <c r="J10" s="34">
        <f>$C$30*('E Balans VL '!D14+'E Balans VL '!E14)/100/3.6*1000000</f>
        <v>0</v>
      </c>
      <c r="K10" s="34"/>
      <c r="L10" s="34"/>
      <c r="M10" s="34"/>
      <c r="N10" s="34">
        <f>$C$30*'E Balans VL '!Y14/100/3.6*1000000</f>
        <v>1197.1144457526284</v>
      </c>
      <c r="O10" s="34"/>
      <c r="P10" s="34"/>
      <c r="R10" s="33"/>
    </row>
    <row r="11" spans="1:18">
      <c r="A11" s="33" t="s">
        <v>54</v>
      </c>
      <c r="B11" s="38">
        <f t="shared" si="0"/>
        <v>794.75513464083804</v>
      </c>
      <c r="C11" s="34"/>
      <c r="D11" s="38">
        <f>IF(ISERROR(TER_onderwijs_gas_kWh/1000),0,TER_onderwijs_gas_kWh/1000)*0.902</f>
        <v>1393.3510500663097</v>
      </c>
      <c r="E11" s="34">
        <f>$C$31*'E Balans VL '!I11/100/3.6*1000000</f>
        <v>0.66303746468361391</v>
      </c>
      <c r="F11" s="34">
        <f>$C$31*('E Balans VL '!L11+'E Balans VL '!N11)/100/3.6*1000000</f>
        <v>415.89644700276835</v>
      </c>
      <c r="G11" s="35"/>
      <c r="H11" s="34"/>
      <c r="I11" s="34"/>
      <c r="J11" s="34">
        <f>$C$31*('E Balans VL '!D11+'E Balans VL '!E11)/100/3.6*1000000</f>
        <v>0</v>
      </c>
      <c r="K11" s="34"/>
      <c r="L11" s="34"/>
      <c r="M11" s="34"/>
      <c r="N11" s="34">
        <f>$C$31*'E Balans VL '!Y11/100/3.6*1000000</f>
        <v>3.4991343767983278</v>
      </c>
      <c r="O11" s="34"/>
      <c r="P11" s="34"/>
      <c r="R11" s="33"/>
    </row>
    <row r="12" spans="1:18">
      <c r="A12" s="33" t="s">
        <v>249</v>
      </c>
      <c r="B12" s="38">
        <f t="shared" si="0"/>
        <v>3525.37938380266</v>
      </c>
      <c r="C12" s="34"/>
      <c r="D12" s="38">
        <f>IF(ISERROR(TER_rest_gas_kWh/1000),0,TER_rest_gas_kWh/1000)*0.902</f>
        <v>16616.188859138991</v>
      </c>
      <c r="E12" s="34">
        <f>$C$32*'E Balans VL '!I8/100/3.6*1000000</f>
        <v>30.340164514836708</v>
      </c>
      <c r="F12" s="34">
        <f>$C$32*('E Balans VL '!L8+'E Balans VL '!N8)/100/3.6*1000000</f>
        <v>686.82867267164875</v>
      </c>
      <c r="G12" s="35"/>
      <c r="H12" s="34"/>
      <c r="I12" s="34"/>
      <c r="J12" s="34">
        <f>$C$32*('E Balans VL '!D8+'E Balans VL '!E8)/100/3.6*1000000</f>
        <v>0</v>
      </c>
      <c r="K12" s="34"/>
      <c r="L12" s="34"/>
      <c r="M12" s="34"/>
      <c r="N12" s="34">
        <f>$C$32*'E Balans VL '!Y8/100/3.6*1000000</f>
        <v>202.5927711245358</v>
      </c>
      <c r="O12" s="34"/>
      <c r="P12" s="34"/>
      <c r="R12" s="33"/>
    </row>
    <row r="13" spans="1:18">
      <c r="A13" s="17" t="s">
        <v>488</v>
      </c>
      <c r="B13" s="246">
        <f ca="1">'lokale energieproductie'!N41+'lokale energieproductie'!N34</f>
        <v>9126</v>
      </c>
      <c r="C13" s="246">
        <f ca="1">'lokale energieproductie'!O41+'lokale energieproductie'!O34</f>
        <v>13037.142857142857</v>
      </c>
      <c r="D13" s="305">
        <f ca="1">('lokale energieproductie'!P34+'lokale energieproductie'!P41)*(-1)</f>
        <v>-26074.285714285717</v>
      </c>
      <c r="E13" s="247"/>
      <c r="F13" s="305">
        <f ca="1">('lokale energieproductie'!S34+'lokale energieproductie'!S41)*(-1)</f>
        <v>0</v>
      </c>
      <c r="G13" s="248"/>
      <c r="H13" s="247"/>
      <c r="I13" s="247"/>
      <c r="J13" s="247"/>
      <c r="K13" s="247"/>
      <c r="L13" s="305">
        <f ca="1">('lokale energieproductie'!U34+'lokale energieproductie'!T34+'lokale energieproductie'!U41+'lokale energieproductie'!T41)*(-1)</f>
        <v>0</v>
      </c>
      <c r="M13" s="247"/>
      <c r="N13" s="305">
        <f ca="1">('lokale energieproductie'!Q34+'lokale energieproductie'!R34+'lokale energieproductie'!V34+'lokale energieproductie'!Q41+'lokale energieproductie'!R41+'lokale energieproductie'!V41)*(-1)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54583.872536405732</v>
      </c>
      <c r="C16" s="22">
        <f t="shared" ca="1" si="1"/>
        <v>13037.142857142857</v>
      </c>
      <c r="D16" s="22">
        <f t="shared" ca="1" si="1"/>
        <v>37561.852650723733</v>
      </c>
      <c r="E16" s="22">
        <f t="shared" si="1"/>
        <v>294.1337645621856</v>
      </c>
      <c r="F16" s="22">
        <f t="shared" ca="1" si="1"/>
        <v>8079.9789314642394</v>
      </c>
      <c r="G16" s="22">
        <f t="shared" si="1"/>
        <v>0</v>
      </c>
      <c r="H16" s="22">
        <f t="shared" si="1"/>
        <v>0</v>
      </c>
      <c r="I16" s="22">
        <f t="shared" si="1"/>
        <v>0</v>
      </c>
      <c r="J16" s="22">
        <f t="shared" si="1"/>
        <v>0</v>
      </c>
      <c r="K16" s="22">
        <f t="shared" si="1"/>
        <v>0</v>
      </c>
      <c r="L16" s="22">
        <f t="shared" ca="1" si="1"/>
        <v>0</v>
      </c>
      <c r="M16" s="22">
        <f t="shared" si="1"/>
        <v>0</v>
      </c>
      <c r="N16" s="22">
        <f t="shared" ca="1" si="1"/>
        <v>1628.0333906421436</v>
      </c>
      <c r="O16" s="22">
        <f>O5</f>
        <v>0</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0.21498567302168362</v>
      </c>
      <c r="C18" s="26">
        <f ca="1">'EF ele_warmte'!B22</f>
        <v>0.23764705882352943</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11734.75057336898</v>
      </c>
      <c r="C20" s="24">
        <f t="shared" ref="C20:P20" ca="1" si="2">C16*C18</f>
        <v>3098.2386554621853</v>
      </c>
      <c r="D20" s="24">
        <f t="shared" ca="1" si="2"/>
        <v>7587.4942354461946</v>
      </c>
      <c r="E20" s="24">
        <f t="shared" si="2"/>
        <v>66.768364555616131</v>
      </c>
      <c r="F20" s="24">
        <f t="shared" ca="1" si="2"/>
        <v>2157.3543747009521</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17906.136217529202</v>
      </c>
      <c r="C26" s="40">
        <f>IF(ISERROR(B26*3.6/1000000/'E Balans VL '!Z12*100),0,B26*3.6/1000000/'E Balans VL '!Z12*100)</f>
        <v>0.37952156618282468</v>
      </c>
      <c r="D26" s="236" t="s">
        <v>660</v>
      </c>
      <c r="F26" s="6"/>
    </row>
    <row r="27" spans="1:18">
      <c r="A27" s="231" t="s">
        <v>52</v>
      </c>
      <c r="B27" s="34">
        <f>IF(ISERROR(TER_horeca_ele_kWh/1000),0,TER_horeca_ele_kWh/1000)</f>
        <v>2358.0167624241699</v>
      </c>
      <c r="C27" s="40">
        <f>IF(ISERROR(B27*3.6/1000000/'E Balans VL '!Z9*100),0,B27*3.6/1000000/'E Balans VL '!Z9*100)</f>
        <v>0.18503698237135521</v>
      </c>
      <c r="D27" s="236" t="s">
        <v>660</v>
      </c>
      <c r="F27" s="6"/>
    </row>
    <row r="28" spans="1:18">
      <c r="A28" s="171" t="s">
        <v>51</v>
      </c>
      <c r="B28" s="34">
        <f>IF(ISERROR(TER_handel_ele_kWh/1000),0,TER_handel_ele_kWh/1000)</f>
        <v>17189.635330011701</v>
      </c>
      <c r="C28" s="40">
        <f>IF(ISERROR(B28*3.6/1000000/'E Balans VL '!Z13*100),0,B28*3.6/1000000/'E Balans VL '!Z13*100)</f>
        <v>0.48004540370500143</v>
      </c>
      <c r="D28" s="236" t="s">
        <v>660</v>
      </c>
      <c r="F28" s="6"/>
    </row>
    <row r="29" spans="1:18">
      <c r="A29" s="231" t="s">
        <v>50</v>
      </c>
      <c r="B29" s="34">
        <f>IF(ISERROR(TER_gezond_ele_kWh/1000),0,TER_gezond_ele_kWh/1000)</f>
        <v>1163.47223510105</v>
      </c>
      <c r="C29" s="40">
        <f>IF(ISERROR(B29*3.6/1000000/'E Balans VL '!Z10*100),0,B29*3.6/1000000/'E Balans VL '!Z10*100)</f>
        <v>0.1333331357604069</v>
      </c>
      <c r="D29" s="236" t="s">
        <v>660</v>
      </c>
      <c r="F29" s="6"/>
    </row>
    <row r="30" spans="1:18">
      <c r="A30" s="231" t="s">
        <v>49</v>
      </c>
      <c r="B30" s="34">
        <f>IF(ISERROR(TER_ander_ele_kWh/1000),0,TER_ander_ele_kWh/1000)</f>
        <v>2520.4774728961097</v>
      </c>
      <c r="C30" s="40">
        <f>IF(ISERROR(B30*3.6/1000000/'E Balans VL '!Z14*100),0,B30*3.6/1000000/'E Balans VL '!Z14*100)</f>
        <v>0.18794455068235522</v>
      </c>
      <c r="D30" s="236" t="s">
        <v>660</v>
      </c>
      <c r="F30" s="6"/>
    </row>
    <row r="31" spans="1:18">
      <c r="A31" s="231" t="s">
        <v>54</v>
      </c>
      <c r="B31" s="34">
        <f>IF(ISERROR(TER_onderwijs_ele_kWh/1000),0,TER_onderwijs_ele_kWh/1000)</f>
        <v>794.75513464083804</v>
      </c>
      <c r="C31" s="40">
        <f>IF(ISERROR(B31*3.6/1000000/'E Balans VL '!Z11*100),0,B31*3.6/1000000/'E Balans VL '!Z11*100)</f>
        <v>0.22714277032121571</v>
      </c>
      <c r="D31" s="236" t="s">
        <v>660</v>
      </c>
    </row>
    <row r="32" spans="1:18">
      <c r="A32" s="231" t="s">
        <v>249</v>
      </c>
      <c r="B32" s="34">
        <f>IF(ISERROR(TER_rest_ele_kWh/1000),0,TER_rest_ele_kWh/1000)</f>
        <v>3525.37938380266</v>
      </c>
      <c r="C32" s="40">
        <f>IF(ISERROR(B32*3.6/1000000/'E Balans VL '!Z8*100),0,B32*3.6/1000000/'E Balans VL '!Z8*100)</f>
        <v>2.9046933506857338E-2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11838.829082554697</v>
      </c>
      <c r="C5" s="18">
        <f>IF(ISERROR('Eigen informatie GS &amp; warmtenet'!B59),0,'Eigen informatie GS &amp; warmtenet'!B59)</f>
        <v>0</v>
      </c>
      <c r="D5" s="31">
        <f>SUM(D6:D15)</f>
        <v>12678.755978483923</v>
      </c>
      <c r="E5" s="18">
        <f>SUM(E6:E15)</f>
        <v>136.7452919548565</v>
      </c>
      <c r="F5" s="18">
        <f>SUM(F6:F15)</f>
        <v>4175.1876253842238</v>
      </c>
      <c r="G5" s="19"/>
      <c r="H5" s="18"/>
      <c r="I5" s="18"/>
      <c r="J5" s="18">
        <f>SUM(J6:J15)</f>
        <v>29.079400836971701</v>
      </c>
      <c r="K5" s="18"/>
      <c r="L5" s="18"/>
      <c r="M5" s="18"/>
      <c r="N5" s="18">
        <f>SUM(N6:N15)</f>
        <v>1032.7413476351453</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437.47615098557401</v>
      </c>
      <c r="C8" s="34"/>
      <c r="D8" s="38">
        <f>IF( ISERROR(IND_metaal_Gas_kWH/1000),0,IND_metaal_Gas_kWH/1000)*0.902</f>
        <v>175.9988889352318</v>
      </c>
      <c r="E8" s="34">
        <f>C30*'E Balans VL '!I18/100/3.6*1000000</f>
        <v>3.9840164684184449</v>
      </c>
      <c r="F8" s="34">
        <f>C30*'E Balans VL '!L18/100/3.6*1000000+C30*'E Balans VL '!N18/100/3.6*1000000</f>
        <v>57.699782064045181</v>
      </c>
      <c r="G8" s="35"/>
      <c r="H8" s="34"/>
      <c r="I8" s="34"/>
      <c r="J8" s="41">
        <f>C30*'E Balans VL '!D18/100/3.6*1000000+C30*'E Balans VL '!E18/100/3.6*1000000</f>
        <v>7.1739736836647809</v>
      </c>
      <c r="K8" s="34"/>
      <c r="L8" s="34"/>
      <c r="M8" s="34"/>
      <c r="N8" s="34">
        <f>C30*'E Balans VL '!Y18/100/3.6*1000000</f>
        <v>1.503431743982236</v>
      </c>
      <c r="O8" s="34"/>
      <c r="P8" s="34"/>
      <c r="R8" s="33"/>
    </row>
    <row r="9" spans="1:18">
      <c r="A9" s="6" t="s">
        <v>32</v>
      </c>
      <c r="B9" s="38">
        <f t="shared" si="0"/>
        <v>3516.3604101148803</v>
      </c>
      <c r="C9" s="34"/>
      <c r="D9" s="38">
        <f>IF( ISERROR(IND_andere_gas_kWh/1000),0,IND_andere_gas_kWh/1000)*0.902</f>
        <v>5143.5765844763091</v>
      </c>
      <c r="E9" s="34">
        <f>C31*'E Balans VL '!I19/100/3.6*1000000</f>
        <v>20.325088647063566</v>
      </c>
      <c r="F9" s="34">
        <f>C31*'E Balans VL '!L19/100/3.6*1000000+C31*'E Balans VL '!N19/100/3.6*1000000</f>
        <v>2797.4339068138092</v>
      </c>
      <c r="G9" s="35"/>
      <c r="H9" s="34"/>
      <c r="I9" s="34"/>
      <c r="J9" s="41">
        <f>C31*'E Balans VL '!D19/100/3.6*1000000+C31*'E Balans VL '!E19/100/3.6*1000000</f>
        <v>0.33260863617172071</v>
      </c>
      <c r="K9" s="34"/>
      <c r="L9" s="34"/>
      <c r="M9" s="34"/>
      <c r="N9" s="34">
        <f>C31*'E Balans VL '!Y19/100/3.6*1000000</f>
        <v>266.41751522869185</v>
      </c>
      <c r="O9" s="34"/>
      <c r="P9" s="34"/>
      <c r="R9" s="33"/>
    </row>
    <row r="10" spans="1:18">
      <c r="A10" s="6" t="s">
        <v>40</v>
      </c>
      <c r="B10" s="38">
        <f t="shared" si="0"/>
        <v>1787.8823104236701</v>
      </c>
      <c r="C10" s="34"/>
      <c r="D10" s="38">
        <f>IF( ISERROR(IND_voed_gas_kWh/1000),0,IND_voed_gas_kWh/1000)*0.902</f>
        <v>2093.0094110546497</v>
      </c>
      <c r="E10" s="34">
        <f>C32*'E Balans VL '!I20/100/3.6*1000000</f>
        <v>17.579560482121632</v>
      </c>
      <c r="F10" s="34">
        <f>C32*'E Balans VL '!L20/100/3.6*1000000+C32*'E Balans VL '!N20/100/3.6*1000000</f>
        <v>198.56766716456053</v>
      </c>
      <c r="G10" s="35"/>
      <c r="H10" s="34"/>
      <c r="I10" s="34"/>
      <c r="J10" s="41">
        <f>C32*'E Balans VL '!D20/100/3.6*1000000+C32*'E Balans VL '!E20/100/3.6*1000000</f>
        <v>7.046855835109782E-3</v>
      </c>
      <c r="K10" s="34"/>
      <c r="L10" s="34"/>
      <c r="M10" s="34"/>
      <c r="N10" s="34">
        <f>C32*'E Balans VL '!Y20/100/3.6*1000000</f>
        <v>26.474331474883762</v>
      </c>
      <c r="O10" s="34"/>
      <c r="P10" s="34"/>
      <c r="R10" s="33"/>
    </row>
    <row r="11" spans="1:18">
      <c r="A11" s="6" t="s">
        <v>39</v>
      </c>
      <c r="B11" s="38">
        <f t="shared" si="0"/>
        <v>164.504861548214</v>
      </c>
      <c r="C11" s="34"/>
      <c r="D11" s="38">
        <f>IF( ISERROR(IND_textiel_gas_kWh/1000),0,IND_textiel_gas_kWh/1000)*0.902</f>
        <v>0</v>
      </c>
      <c r="E11" s="34">
        <f>C33*'E Balans VL '!I21/100/3.6*1000000</f>
        <v>0.32032916458943034</v>
      </c>
      <c r="F11" s="34">
        <f>C33*'E Balans VL '!L21/100/3.6*1000000+C33*'E Balans VL '!N21/100/3.6*1000000</f>
        <v>5.4259101571525781</v>
      </c>
      <c r="G11" s="35"/>
      <c r="H11" s="34"/>
      <c r="I11" s="34"/>
      <c r="J11" s="41">
        <f>C33*'E Balans VL '!D21/100/3.6*1000000+C33*'E Balans VL '!E21/100/3.6*1000000</f>
        <v>0</v>
      </c>
      <c r="K11" s="34"/>
      <c r="L11" s="34"/>
      <c r="M11" s="34"/>
      <c r="N11" s="34">
        <f>C33*'E Balans VL '!Y21/100/3.6*1000000</f>
        <v>1.7063480912065332</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1644.12726585828</v>
      </c>
      <c r="C13" s="34"/>
      <c r="D13" s="38">
        <f>IF( ISERROR(IND_papier_gas_kWh/1000),0,IND_papier_gas_kWh/1000)*0.902</f>
        <v>131.00339500208867</v>
      </c>
      <c r="E13" s="34">
        <f>C35*'E Balans VL '!I23/100/3.6*1000000</f>
        <v>56.001358505547906</v>
      </c>
      <c r="F13" s="34">
        <f>C35*'E Balans VL '!L23/100/3.6*1000000+C35*'E Balans VL '!N23/100/3.6*1000000</f>
        <v>271.5712374834618</v>
      </c>
      <c r="G13" s="35"/>
      <c r="H13" s="34"/>
      <c r="I13" s="34"/>
      <c r="J13" s="41">
        <f>C35*'E Balans VL '!D23/100/3.6*1000000+C35*'E Balans VL '!E23/100/3.6*1000000</f>
        <v>0</v>
      </c>
      <c r="K13" s="34"/>
      <c r="L13" s="34"/>
      <c r="M13" s="34"/>
      <c r="N13" s="34">
        <f>C35*'E Balans VL '!Y23/100/3.6*1000000</f>
        <v>604.99474176059675</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4288.4780836240798</v>
      </c>
      <c r="C15" s="34"/>
      <c r="D15" s="38">
        <f>IF( ISERROR(IND_rest_gas_kWh/1000),0,IND_rest_gas_kWh/1000)*0.902</f>
        <v>5135.1676990156438</v>
      </c>
      <c r="E15" s="34">
        <f>C37*'E Balans VL '!I15/100/3.6*1000000</f>
        <v>38.53493868711552</v>
      </c>
      <c r="F15" s="34">
        <f>C37*'E Balans VL '!L15/100/3.6*1000000+C37*'E Balans VL '!N15/100/3.6*1000000</f>
        <v>844.48912170119502</v>
      </c>
      <c r="G15" s="35"/>
      <c r="H15" s="34"/>
      <c r="I15" s="34"/>
      <c r="J15" s="41">
        <f>C37*'E Balans VL '!D15/100/3.6*1000000+C37*'E Balans VL '!E15/100/3.6*1000000</f>
        <v>21.565771661300086</v>
      </c>
      <c r="K15" s="34"/>
      <c r="L15" s="34"/>
      <c r="M15" s="34"/>
      <c r="N15" s="34">
        <f>C37*'E Balans VL '!Y15/100/3.6*1000000</f>
        <v>131.64497933578414</v>
      </c>
      <c r="O15" s="34"/>
      <c r="P15" s="34"/>
      <c r="R15" s="33"/>
    </row>
    <row r="16" spans="1:18">
      <c r="A16" s="17" t="s">
        <v>488</v>
      </c>
      <c r="B16" s="246">
        <f>'lokale energieproductie'!N40+'lokale energieproductie'!N33</f>
        <v>0</v>
      </c>
      <c r="C16" s="246">
        <f>'lokale energieproductie'!O40+'lokale energieproductie'!O33</f>
        <v>0</v>
      </c>
      <c r="D16" s="305">
        <f>('lokale energieproductie'!P33+'lokale energieproductie'!P40)*(-1)</f>
        <v>0</v>
      </c>
      <c r="E16" s="247"/>
      <c r="F16" s="305">
        <f>('lokale energieproductie'!S33+'lokale energieproductie'!S40)*(-1)</f>
        <v>0</v>
      </c>
      <c r="G16" s="248"/>
      <c r="H16" s="247"/>
      <c r="I16" s="247"/>
      <c r="J16" s="247"/>
      <c r="K16" s="247"/>
      <c r="L16" s="305">
        <f>('lokale energieproductie'!T33+'lokale energieproductie'!U33+'lokale energieproductie'!T40+'lokale energieproductie'!U40)*(-1)</f>
        <v>0</v>
      </c>
      <c r="M16" s="247"/>
      <c r="N16" s="305">
        <f>('lokale energieproductie'!Q33+'lokale energieproductie'!R33+'lokale energieproductie'!V33+'lokale energieproductie'!Q40+'lokale energieproductie'!R40+'lokale energieproductie'!V40)*(-1)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11838.829082554697</v>
      </c>
      <c r="C18" s="22">
        <f>C5+C16</f>
        <v>0</v>
      </c>
      <c r="D18" s="22">
        <f>MAX((D5+D16),0)</f>
        <v>12678.755978483923</v>
      </c>
      <c r="E18" s="22">
        <f>MAX((E5+E16),0)</f>
        <v>136.7452919548565</v>
      </c>
      <c r="F18" s="22">
        <f>MAX((F5+F16),0)</f>
        <v>4175.1876253842238</v>
      </c>
      <c r="G18" s="22"/>
      <c r="H18" s="22"/>
      <c r="I18" s="22"/>
      <c r="J18" s="22">
        <f>MAX((J5+J16),0)</f>
        <v>29.079400836971701</v>
      </c>
      <c r="K18" s="22"/>
      <c r="L18" s="22">
        <f>MAX((L5+L16),0)</f>
        <v>0</v>
      </c>
      <c r="M18" s="22"/>
      <c r="N18" s="22">
        <f>MAX((N5+N16),0)</f>
        <v>1032.7413476351453</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0.21498567302168362</v>
      </c>
      <c r="C20" s="26">
        <f ca="1">'EF ele_warmte'!B22</f>
        <v>0.23764705882352943</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2545.1786381017027</v>
      </c>
      <c r="C22" s="24">
        <f ca="1">C18*C20</f>
        <v>0</v>
      </c>
      <c r="D22" s="24">
        <f>D18*D20</f>
        <v>2561.1087076537528</v>
      </c>
      <c r="E22" s="24">
        <f>E18*E20</f>
        <v>31.041181273752425</v>
      </c>
      <c r="F22" s="24">
        <f>F18*F20</f>
        <v>1114.7750959775879</v>
      </c>
      <c r="G22" s="24"/>
      <c r="H22" s="24"/>
      <c r="I22" s="24"/>
      <c r="J22" s="24">
        <f>J18*J20</f>
        <v>10.294107896287981</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437.47615098557401</v>
      </c>
      <c r="C30" s="40">
        <f>IF(ISERROR(B30*3.6/1000000/'E Balans VL '!Z18*100),0,B30*3.6/1000000/'E Balans VL '!Z18*100)</f>
        <v>2.4342622424424535E-2</v>
      </c>
      <c r="D30" s="236" t="s">
        <v>660</v>
      </c>
    </row>
    <row r="31" spans="1:18">
      <c r="A31" s="6" t="s">
        <v>32</v>
      </c>
      <c r="B31" s="38">
        <f>IF( ISERROR(IND_ander_ele_kWh/1000),0,IND_ander_ele_kWh/1000)</f>
        <v>3516.3604101148803</v>
      </c>
      <c r="C31" s="40">
        <f>IF(ISERROR(B31*3.6/1000000/'E Balans VL '!Z19*100),0,B31*3.6/1000000/'E Balans VL '!Z19*100)</f>
        <v>0.16346636043934398</v>
      </c>
      <c r="D31" s="236" t="s">
        <v>660</v>
      </c>
    </row>
    <row r="32" spans="1:18">
      <c r="A32" s="171" t="s">
        <v>40</v>
      </c>
      <c r="B32" s="38">
        <f>IF( ISERROR(IND_voed_ele_kWh/1000),0,IND_voed_ele_kWh/1000)</f>
        <v>1787.8823104236701</v>
      </c>
      <c r="C32" s="40">
        <f>IF(ISERROR(B32*3.6/1000000/'E Balans VL '!Z20*100),0,B32*3.6/1000000/'E Balans VL '!Z20*100)</f>
        <v>6.3198028892232666E-2</v>
      </c>
      <c r="D32" s="236" t="s">
        <v>660</v>
      </c>
    </row>
    <row r="33" spans="1:5">
      <c r="A33" s="171" t="s">
        <v>39</v>
      </c>
      <c r="B33" s="38">
        <f>IF( ISERROR(IND_textiel_ele_kWh/1000),0,IND_textiel_ele_kWh/1000)</f>
        <v>164.504861548214</v>
      </c>
      <c r="C33" s="40">
        <f>IF(ISERROR(B33*3.6/1000000/'E Balans VL '!Z21*100),0,B33*3.6/1000000/'E Balans VL '!Z21*100)</f>
        <v>2.2218877738429194E-2</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1644.12726585828</v>
      </c>
      <c r="C35" s="40">
        <f>IF(ISERROR(B35*3.6/1000000/'E Balans VL '!Z22*100),0,B35*3.6/1000000/'E Balans VL '!Z22*100)</f>
        <v>0.33042321761494337</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4288.4780836240798</v>
      </c>
      <c r="C37" s="40">
        <f>IF(ISERROR(B37*3.6/1000000/'E Balans VL '!Z15*100),0,B37*3.6/1000000/'E Balans VL '!Z15*100)</f>
        <v>3.23843445714442E-2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1485.5681667953991</v>
      </c>
      <c r="C5" s="18">
        <f>'Eigen informatie GS &amp; warmtenet'!B60</f>
        <v>0</v>
      </c>
      <c r="D5" s="31">
        <f>IF(ISERROR(SUM(LB_lb_gas_kWh,LB_rest_gas_kWh)/1000),0,SUM(LB_lb_gas_kWh,LB_rest_gas_kWh)/1000)*0.902</f>
        <v>64564.118648756295</v>
      </c>
      <c r="E5" s="18">
        <f>B17*'E Balans VL '!I25/3.6*1000000/100</f>
        <v>14.670256032999045</v>
      </c>
      <c r="F5" s="18">
        <f>B17*('E Balans VL '!L25/3.6*1000000+'E Balans VL '!N25/3.6*1000000)/100</f>
        <v>4956.2484827492844</v>
      </c>
      <c r="G5" s="19"/>
      <c r="H5" s="18"/>
      <c r="I5" s="18"/>
      <c r="J5" s="18">
        <f>('E Balans VL '!D25+'E Balans VL '!E25)/3.6*1000000*landbouw!B17/100</f>
        <v>148.21461285311639</v>
      </c>
      <c r="K5" s="18"/>
      <c r="L5" s="18">
        <f>L6*(-1)</f>
        <v>0</v>
      </c>
      <c r="M5" s="18"/>
      <c r="N5" s="18">
        <f>N6*(-1)</f>
        <v>0</v>
      </c>
      <c r="O5" s="18"/>
      <c r="P5" s="18"/>
      <c r="R5" s="33"/>
    </row>
    <row r="6" spans="1:18">
      <c r="A6" s="17" t="s">
        <v>488</v>
      </c>
      <c r="B6" s="18" t="s">
        <v>204</v>
      </c>
      <c r="C6" s="18">
        <f>'lokale energieproductie'!O42+'lokale energieproductie'!O35</f>
        <v>54527.142857142855</v>
      </c>
      <c r="D6" s="305">
        <f>('lokale energieproductie'!P35+'lokale energieproductie'!P42)*(-1)</f>
        <v>-109054.28571428572</v>
      </c>
      <c r="E6" s="247"/>
      <c r="F6" s="305">
        <f>('lokale energieproductie'!S35+'lokale energieproductie'!S42)*(-1)</f>
        <v>0</v>
      </c>
      <c r="G6" s="248"/>
      <c r="H6" s="247"/>
      <c r="I6" s="247"/>
      <c r="J6" s="247"/>
      <c r="K6" s="247"/>
      <c r="L6" s="305">
        <f>('lokale energieproductie'!T35+'lokale energieproductie'!U35+'lokale energieproductie'!T42+'lokale energieproductie'!U42)*(-1)</f>
        <v>0</v>
      </c>
      <c r="M6" s="247"/>
      <c r="N6" s="305">
        <f>('lokale energieproductie'!V35+'lokale energieproductie'!R35+'lokale energieproductie'!Q35+'lokale energieproductie'!Q42+'lokale energieproductie'!R42+'lokale energieproductie'!V42)*(-1)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1485.5681667953991</v>
      </c>
      <c r="C8" s="22">
        <f>C5+C6</f>
        <v>54527.142857142855</v>
      </c>
      <c r="D8" s="22">
        <f>MAX((D5+D6),0)</f>
        <v>0</v>
      </c>
      <c r="E8" s="22">
        <f>MAX((E5+E6),0)</f>
        <v>14.670256032999045</v>
      </c>
      <c r="F8" s="22">
        <f>MAX((F5+F6),0)</f>
        <v>4956.2484827492844</v>
      </c>
      <c r="G8" s="22"/>
      <c r="H8" s="22"/>
      <c r="I8" s="22"/>
      <c r="J8" s="22">
        <f>MAX((J5+J6),0)</f>
        <v>148.21461285311639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0.21498567302168362</v>
      </c>
      <c r="C10" s="32">
        <f ca="1">'EF ele_warmte'!B22</f>
        <v>0.23764705882352943</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319.37587215809759</v>
      </c>
      <c r="C12" s="24">
        <f ca="1">C8*C10</f>
        <v>12958.215126050422</v>
      </c>
      <c r="D12" s="24">
        <f>D8*D10</f>
        <v>0</v>
      </c>
      <c r="E12" s="24">
        <f>E8*E10</f>
        <v>3.3301481194907834</v>
      </c>
      <c r="F12" s="24">
        <f>F8*F10</f>
        <v>1323.318344894059</v>
      </c>
      <c r="G12" s="24"/>
      <c r="H12" s="24"/>
      <c r="I12" s="24"/>
      <c r="J12" s="24">
        <f>J8*J10</f>
        <v>52.467972950003201</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0.20112219116364341</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156.4429528549945</v>
      </c>
      <c r="C26" s="246">
        <f>B26*'GWP N2O_CH4'!B5</f>
        <v>3285.3020099548844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29.031553883059026</v>
      </c>
      <c r="C27" s="246">
        <f>B27*'GWP N2O_CH4'!B5</f>
        <v>609.6626315442395</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2.3172230650228878</v>
      </c>
      <c r="C28" s="246">
        <f>B28*'GWP N2O_CH4'!B4</f>
        <v>718.33915015709522</v>
      </c>
      <c r="D28" s="51"/>
    </row>
    <row r="29" spans="1:4">
      <c r="A29" s="42" t="s">
        <v>266</v>
      </c>
      <c r="B29" s="246">
        <f>B34*'ha_N2O bodem landbouw'!B4</f>
        <v>4.9638283687264204</v>
      </c>
      <c r="C29" s="246">
        <f>B29*'GWP N2O_CH4'!B4</f>
        <v>1538.7867943051904</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1.3400773969145462E-3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5.4605860055784779E-5</v>
      </c>
      <c r="C5" s="433" t="s">
        <v>204</v>
      </c>
      <c r="D5" s="418">
        <f>SUM(D6:D11)</f>
        <v>6.2307051747099293E-5</v>
      </c>
      <c r="E5" s="418">
        <f>SUM(E6:E11)</f>
        <v>4.4883384476454855E-3</v>
      </c>
      <c r="F5" s="431" t="s">
        <v>204</v>
      </c>
      <c r="G5" s="418">
        <f>SUM(G6:G11)</f>
        <v>1.1233619590080413</v>
      </c>
      <c r="H5" s="418">
        <f>SUM(H6:H11)</f>
        <v>0.16407379677567807</v>
      </c>
      <c r="I5" s="433" t="s">
        <v>204</v>
      </c>
      <c r="J5" s="433" t="s">
        <v>204</v>
      </c>
      <c r="K5" s="433" t="s">
        <v>204</v>
      </c>
      <c r="L5" s="433" t="s">
        <v>204</v>
      </c>
      <c r="M5" s="418">
        <f>SUM(M6:M11)</f>
        <v>5.7500178078199397E-2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1.8863833978224521E-5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2.1878615685260356E-5</v>
      </c>
      <c r="E6" s="421">
        <f>vkm_GW_PW*SUMIFS(TableVerdeelsleutelVkm[LPG],TableVerdeelsleutelVkm[Voertuigtype],"Lichte voertuigen")*SUMIFS(TableECFTransport[EnergieConsumptieFactor (PJ per km)],TableECFTransport[Index],CONCATENATE($A6,"_LPG_LPG"))</f>
        <v>1.4161223878259197E-3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0.22328248794330857</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5.6459945920438584E-2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1.2521290039998504E-2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1.306364425551321E-6</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0.21610001338556237</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6.7347499147915054E-6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9.615788513123176E-3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4.7368389445589443E-6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8.9538974216432476E-6</v>
      </c>
      <c r="E8" s="421">
        <f>vkm_NGW_PW*SUMIFS(TableVerdeelsleutelVkm[LPG],TableVerdeelsleutelVkm[Voertuigtype],"Lichte voertuigen")*SUMIFS(TableECFTransport[EnergieConsumptieFactor (PJ per km)],TableECFTransport[Index],CONCATENATE($A8,"_LPG_LPG"))</f>
        <v>5.4772028658539834E-4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8.1656962812043932E-2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2.1992110942345804E-2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4.6407456947832691E-3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2.0505070221651105E-7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4.3496742557829621E-2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1.2759534639629566E-6</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1.935468132297198E-3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2.8259524813536889E-5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3.147453864019569E-5</v>
      </c>
      <c r="E10" s="421">
        <f>vkm_SW_PW*SUMIFS(TableVerdeelsleutelVkm[LPG],TableVerdeelsleutelVkm[Voertuigtype],"Lichte voertuigen")*SUMIFS(TableECFTransport[EnergieConsumptieFactor (PJ per km)],TableECFTransport[Index],CONCATENATE($A10,"_LPG_LPG"))</f>
        <v>2.5244957732341675E-3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0.3675761495804985</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8.560717998746685E-2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2.0276837346036324E-2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1.234247191696588E-6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0.19124960272879826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6.5492220480576383E-6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8.5100483519609336E-3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15.168294459940217</v>
      </c>
      <c r="C14" s="22"/>
      <c r="D14" s="22">
        <f t="shared" ref="D14:M14" si="0">((D5)*10^9/3600)+D12</f>
        <v>17.307514374194248</v>
      </c>
      <c r="E14" s="22">
        <f t="shared" si="0"/>
        <v>1246.7606799015236</v>
      </c>
      <c r="F14" s="22"/>
      <c r="G14" s="22">
        <f t="shared" si="0"/>
        <v>312044.98861334479</v>
      </c>
      <c r="H14" s="22">
        <f t="shared" si="0"/>
        <v>45576.054659910573</v>
      </c>
      <c r="I14" s="22"/>
      <c r="J14" s="22"/>
      <c r="K14" s="22"/>
      <c r="L14" s="22"/>
      <c r="M14" s="22">
        <f t="shared" si="0"/>
        <v>15972.271688388721</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0.21498567302168362</v>
      </c>
      <c r="C16" s="57">
        <f ca="1">'EF ele_warmte'!B22</f>
        <v>0.23764705882352943</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3.2609659930613226</v>
      </c>
      <c r="C18" s="24"/>
      <c r="D18" s="24">
        <f t="shared" ref="D18:M18" si="1">D14*D16</f>
        <v>3.4961179035872383</v>
      </c>
      <c r="E18" s="24">
        <f t="shared" si="1"/>
        <v>283.01467433764589</v>
      </c>
      <c r="F18" s="24"/>
      <c r="G18" s="24">
        <f t="shared" si="1"/>
        <v>83316.011959763069</v>
      </c>
      <c r="H18" s="24">
        <f t="shared" si="1"/>
        <v>11348.437610317733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3.8023446634277168E-5</v>
      </c>
      <c r="C50" s="316">
        <f t="shared" ref="C50:P50" si="2">SUM(C51:C52)</f>
        <v>0</v>
      </c>
      <c r="D50" s="316">
        <f t="shared" si="2"/>
        <v>0</v>
      </c>
      <c r="E50" s="316">
        <f t="shared" si="2"/>
        <v>0</v>
      </c>
      <c r="F50" s="316">
        <f t="shared" si="2"/>
        <v>0</v>
      </c>
      <c r="G50" s="316">
        <f t="shared" si="2"/>
        <v>7.5838516069734515E-3</v>
      </c>
      <c r="H50" s="316">
        <f t="shared" si="2"/>
        <v>0</v>
      </c>
      <c r="I50" s="316">
        <f t="shared" si="2"/>
        <v>0</v>
      </c>
      <c r="J50" s="316">
        <f t="shared" si="2"/>
        <v>0</v>
      </c>
      <c r="K50" s="316">
        <f t="shared" si="2"/>
        <v>0</v>
      </c>
      <c r="L50" s="316">
        <f t="shared" si="2"/>
        <v>0</v>
      </c>
      <c r="M50" s="316">
        <f t="shared" si="2"/>
        <v>3.3519816390072441E-4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3.8023446634277168E-5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7.5838516069734515E-3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3.3519816390072441E-4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10.562068509521437</v>
      </c>
      <c r="C54" s="22">
        <f t="shared" ref="C54:P54" si="3">(C50)*10^9/3600</f>
        <v>0</v>
      </c>
      <c r="D54" s="22">
        <f t="shared" si="3"/>
        <v>0</v>
      </c>
      <c r="E54" s="22">
        <f t="shared" si="3"/>
        <v>0</v>
      </c>
      <c r="F54" s="22">
        <f t="shared" si="3"/>
        <v>0</v>
      </c>
      <c r="G54" s="22">
        <f t="shared" si="3"/>
        <v>2106.6254463815144</v>
      </c>
      <c r="H54" s="22">
        <f t="shared" si="3"/>
        <v>0</v>
      </c>
      <c r="I54" s="22">
        <f t="shared" si="3"/>
        <v>0</v>
      </c>
      <c r="J54" s="22">
        <f t="shared" si="3"/>
        <v>0</v>
      </c>
      <c r="K54" s="22">
        <f t="shared" si="3"/>
        <v>0</v>
      </c>
      <c r="L54" s="22">
        <f t="shared" si="3"/>
        <v>0</v>
      </c>
      <c r="M54" s="22">
        <f t="shared" si="3"/>
        <v>93.110601083534561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0.21498567302168362</v>
      </c>
      <c r="C56" s="57">
        <f ca="1">'EF ele_warmte'!B22</f>
        <v>0.23764705882352943</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2.2706934070205969</v>
      </c>
      <c r="C58" s="24">
        <f t="shared" ref="C58:P58" ca="1" si="4">C54*C56</f>
        <v>0</v>
      </c>
      <c r="D58" s="24">
        <f t="shared" si="4"/>
        <v>0</v>
      </c>
      <c r="E58" s="24">
        <f t="shared" si="4"/>
        <v>0</v>
      </c>
      <c r="F58" s="24">
        <f t="shared" si="4"/>
        <v>0</v>
      </c>
      <c r="G58" s="24">
        <f t="shared" si="4"/>
        <v>562.46899418386442</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4"/>
  <sheetViews>
    <sheetView showGridLines="0" topLeftCell="F1" zoomScale="65" zoomScaleNormal="65" workbookViewId="0">
      <selection activeCell="A28" sqref="A28:XFD32"/>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6544.9504873463902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N32</f>
        <v>47295</v>
      </c>
      <c r="C8" s="544">
        <f>B51</f>
        <v>55641.176470588238</v>
      </c>
      <c r="D8" s="931"/>
      <c r="E8" s="931">
        <f>E51</f>
        <v>0</v>
      </c>
      <c r="F8" s="932"/>
      <c r="G8" s="545"/>
      <c r="H8" s="931">
        <f>I51</f>
        <v>0</v>
      </c>
      <c r="I8" s="931">
        <f>G51+F51</f>
        <v>0</v>
      </c>
      <c r="J8" s="931">
        <f>H51+D51+C51</f>
        <v>0</v>
      </c>
      <c r="K8" s="931"/>
      <c r="L8" s="931"/>
      <c r="M8" s="931"/>
      <c r="N8" s="546"/>
      <c r="O8" s="547">
        <f>C8*$C$12+D8*$D$12+E8*$E$12+F8*$F$12+G8*$G$12+H8*$H$12+I8*$I$12+J8*$J$12</f>
        <v>11239.517647058825</v>
      </c>
      <c r="P8" s="1206"/>
      <c r="Q8" s="1207"/>
      <c r="S8" s="968"/>
      <c r="T8" s="1227"/>
      <c r="U8" s="1227"/>
    </row>
    <row r="9" spans="1:21" s="532" customFormat="1" ht="17.45" customHeight="1" thickBot="1">
      <c r="A9" s="548" t="s">
        <v>237</v>
      </c>
      <c r="B9" s="933">
        <f>N39+'Eigen informatie GS &amp; warmtenet'!B12</f>
        <v>0</v>
      </c>
      <c r="C9" s="549">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53839.950487346388</v>
      </c>
      <c r="C10" s="556">
        <f t="shared" ref="C10:L10" si="0">SUM(C8:C9)</f>
        <v>55641.176470588238</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11239.517647058825</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O32</f>
        <v>67564.28571428571</v>
      </c>
      <c r="C17" s="568">
        <f>B52</f>
        <v>79487.394957983197</v>
      </c>
      <c r="D17" s="569"/>
      <c r="E17" s="569">
        <f>E52</f>
        <v>0</v>
      </c>
      <c r="F17" s="570"/>
      <c r="G17" s="571"/>
      <c r="H17" s="568">
        <f>I52</f>
        <v>0</v>
      </c>
      <c r="I17" s="569">
        <f>G52+F52</f>
        <v>0</v>
      </c>
      <c r="J17" s="569">
        <f>H52+D52+C52</f>
        <v>0</v>
      </c>
      <c r="K17" s="569"/>
      <c r="L17" s="569"/>
      <c r="M17" s="569"/>
      <c r="N17" s="938"/>
      <c r="O17" s="572">
        <f>C17*$C$22+E17*$E$22+H17*$H$22+I17*$I$22+J17*$J$22+D17*$D$22+F17*$F$22+G17*$G$22+K17*$K$22+L17*$L$22</f>
        <v>16056.453781512606</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67564.28571428571</v>
      </c>
      <c r="C20" s="555">
        <f>SUM(C17:C19)</f>
        <v>79487.394957983197</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16056.453781512606</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11024</v>
      </c>
      <c r="C28" s="740">
        <v>2550</v>
      </c>
      <c r="D28" s="628"/>
      <c r="E28" s="627"/>
      <c r="F28" s="627"/>
      <c r="G28" s="627" t="s">
        <v>942</v>
      </c>
      <c r="H28" s="627" t="s">
        <v>943</v>
      </c>
      <c r="I28" s="627"/>
      <c r="J28" s="739"/>
      <c r="K28" s="739"/>
      <c r="L28" s="627" t="s">
        <v>944</v>
      </c>
      <c r="M28" s="627">
        <v>4008</v>
      </c>
      <c r="N28" s="627">
        <v>18036</v>
      </c>
      <c r="O28" s="627">
        <v>25765.714285714286</v>
      </c>
      <c r="P28" s="627">
        <v>51531.428571428572</v>
      </c>
      <c r="Q28" s="627">
        <v>0</v>
      </c>
      <c r="R28" s="627">
        <v>0</v>
      </c>
      <c r="S28" s="627">
        <v>0</v>
      </c>
      <c r="T28" s="627">
        <v>0</v>
      </c>
      <c r="U28" s="627">
        <v>0</v>
      </c>
      <c r="V28" s="627">
        <v>0</v>
      </c>
      <c r="W28" s="627"/>
      <c r="X28" s="627"/>
      <c r="Y28" s="627">
        <v>10</v>
      </c>
      <c r="Z28" s="627" t="s">
        <v>105</v>
      </c>
      <c r="AA28" s="629" t="s">
        <v>105</v>
      </c>
    </row>
    <row r="29" spans="1:27" s="581" customFormat="1" ht="25.5" hidden="1">
      <c r="A29" s="580"/>
      <c r="B29" s="740">
        <v>11024</v>
      </c>
      <c r="C29" s="740">
        <v>2550</v>
      </c>
      <c r="D29" s="628"/>
      <c r="E29" s="627"/>
      <c r="F29" s="627"/>
      <c r="G29" s="627" t="s">
        <v>942</v>
      </c>
      <c r="H29" s="627" t="s">
        <v>943</v>
      </c>
      <c r="I29" s="627"/>
      <c r="J29" s="739"/>
      <c r="K29" s="739"/>
      <c r="L29" s="627" t="s">
        <v>944</v>
      </c>
      <c r="M29" s="627">
        <v>1746</v>
      </c>
      <c r="N29" s="627">
        <v>7857</v>
      </c>
      <c r="O29" s="627">
        <v>11224.285714285714</v>
      </c>
      <c r="P29" s="627">
        <v>22448.571428571431</v>
      </c>
      <c r="Q29" s="627">
        <v>0</v>
      </c>
      <c r="R29" s="627">
        <v>0</v>
      </c>
      <c r="S29" s="627">
        <v>0</v>
      </c>
      <c r="T29" s="627">
        <v>0</v>
      </c>
      <c r="U29" s="627">
        <v>0</v>
      </c>
      <c r="V29" s="627">
        <v>0</v>
      </c>
      <c r="W29" s="627"/>
      <c r="X29" s="627"/>
      <c r="Y29" s="627">
        <v>10</v>
      </c>
      <c r="Z29" s="627" t="s">
        <v>105</v>
      </c>
      <c r="AA29" s="629" t="s">
        <v>105</v>
      </c>
    </row>
    <row r="30" spans="1:27" s="581" customFormat="1" ht="63.75" hidden="1">
      <c r="A30" s="580"/>
      <c r="B30" s="740">
        <v>11024</v>
      </c>
      <c r="C30" s="740">
        <v>2550</v>
      </c>
      <c r="D30" s="628"/>
      <c r="E30" s="627"/>
      <c r="F30" s="627"/>
      <c r="G30" s="627" t="s">
        <v>942</v>
      </c>
      <c r="H30" s="627" t="s">
        <v>943</v>
      </c>
      <c r="I30" s="627"/>
      <c r="J30" s="739"/>
      <c r="K30" s="739"/>
      <c r="L30" s="627" t="s">
        <v>944</v>
      </c>
      <c r="M30" s="627">
        <v>2028</v>
      </c>
      <c r="N30" s="627">
        <v>9126</v>
      </c>
      <c r="O30" s="627">
        <v>13037.142857142857</v>
      </c>
      <c r="P30" s="627">
        <v>26074.285714285717</v>
      </c>
      <c r="Q30" s="627">
        <v>0</v>
      </c>
      <c r="R30" s="627">
        <v>0</v>
      </c>
      <c r="S30" s="627">
        <v>0</v>
      </c>
      <c r="T30" s="627">
        <v>0</v>
      </c>
      <c r="U30" s="627">
        <v>0</v>
      </c>
      <c r="V30" s="627">
        <v>0</v>
      </c>
      <c r="W30" s="627"/>
      <c r="X30" s="627"/>
      <c r="Y30" s="627">
        <v>1600</v>
      </c>
      <c r="Z30" s="627" t="s">
        <v>49</v>
      </c>
      <c r="AA30" s="629" t="s">
        <v>149</v>
      </c>
    </row>
    <row r="31" spans="1:27" s="581" customFormat="1" ht="25.5" hidden="1">
      <c r="A31" s="580"/>
      <c r="B31" s="740">
        <v>11024</v>
      </c>
      <c r="C31" s="740">
        <v>2550</v>
      </c>
      <c r="D31" s="628"/>
      <c r="E31" s="627"/>
      <c r="F31" s="627"/>
      <c r="G31" s="627" t="s">
        <v>942</v>
      </c>
      <c r="H31" s="627" t="s">
        <v>943</v>
      </c>
      <c r="I31" s="627"/>
      <c r="J31" s="739"/>
      <c r="K31" s="739"/>
      <c r="L31" s="627" t="s">
        <v>944</v>
      </c>
      <c r="M31" s="627">
        <v>2728</v>
      </c>
      <c r="N31" s="627">
        <v>12276.000000000002</v>
      </c>
      <c r="O31" s="627">
        <v>17537.142857142859</v>
      </c>
      <c r="P31" s="627">
        <v>35074.285714285725</v>
      </c>
      <c r="Q31" s="627">
        <v>0</v>
      </c>
      <c r="R31" s="627">
        <v>0</v>
      </c>
      <c r="S31" s="627">
        <v>0</v>
      </c>
      <c r="T31" s="627">
        <v>0</v>
      </c>
      <c r="U31" s="627">
        <v>0</v>
      </c>
      <c r="V31" s="627">
        <v>0</v>
      </c>
      <c r="W31" s="627"/>
      <c r="X31" s="627"/>
      <c r="Y31" s="627">
        <v>10</v>
      </c>
      <c r="Z31" s="627" t="s">
        <v>105</v>
      </c>
      <c r="AA31" s="629" t="s">
        <v>105</v>
      </c>
    </row>
    <row r="32" spans="1:27" s="563" customFormat="1" hidden="1">
      <c r="A32" s="583" t="s">
        <v>269</v>
      </c>
      <c r="B32" s="584"/>
      <c r="C32" s="584"/>
      <c r="D32" s="584"/>
      <c r="E32" s="584"/>
      <c r="F32" s="584"/>
      <c r="G32" s="584"/>
      <c r="H32" s="584"/>
      <c r="I32" s="584"/>
      <c r="J32" s="584"/>
      <c r="K32" s="584"/>
      <c r="L32" s="585"/>
      <c r="M32" s="585">
        <f>SUM(M28:M31)</f>
        <v>10510</v>
      </c>
      <c r="N32" s="585">
        <f>SUM(N28:N31)</f>
        <v>47295</v>
      </c>
      <c r="O32" s="585">
        <f>SUM(O28:O31)</f>
        <v>67564.28571428571</v>
      </c>
      <c r="P32" s="585">
        <f>SUM(P28:P31)</f>
        <v>135128.57142857142</v>
      </c>
      <c r="Q32" s="585">
        <f>SUM(Q28:Q31)</f>
        <v>0</v>
      </c>
      <c r="R32" s="585">
        <f>SUM(R28:R31)</f>
        <v>0</v>
      </c>
      <c r="S32" s="585">
        <f>SUM(S28:S31)</f>
        <v>0</v>
      </c>
      <c r="T32" s="585">
        <f>SUM(T28:T31)</f>
        <v>0</v>
      </c>
      <c r="U32" s="585">
        <f>SUM(U28:U31)</f>
        <v>0</v>
      </c>
      <c r="V32" s="585">
        <f>SUM(V28:V31)</f>
        <v>0</v>
      </c>
      <c r="W32" s="585">
        <f>SUM(W28:W31)</f>
        <v>0</v>
      </c>
      <c r="X32" s="585"/>
      <c r="Y32" s="586"/>
      <c r="Z32" s="586"/>
      <c r="AA32" s="587"/>
    </row>
    <row r="33" spans="1:28" s="563" customFormat="1">
      <c r="A33" s="583" t="s">
        <v>276</v>
      </c>
      <c r="B33" s="584"/>
      <c r="C33" s="584"/>
      <c r="D33" s="584"/>
      <c r="E33" s="584"/>
      <c r="F33" s="584"/>
      <c r="G33" s="584"/>
      <c r="H33" s="584"/>
      <c r="I33" s="584"/>
      <c r="J33" s="584"/>
      <c r="K33" s="584"/>
      <c r="L33" s="585"/>
      <c r="M33" s="585">
        <f>SUMIF($AA$28:$AA$31,"industrie",M28:M31)</f>
        <v>0</v>
      </c>
      <c r="N33" s="585">
        <f>SUMIF($AA$28:$AA$31,"industrie",N28:N31)</f>
        <v>0</v>
      </c>
      <c r="O33" s="585">
        <f>SUMIF($AA$28:$AA$31,"industrie",O28:O31)</f>
        <v>0</v>
      </c>
      <c r="P33" s="585">
        <f>SUMIF($AA$28:$AA$31,"industrie",P28:P31)</f>
        <v>0</v>
      </c>
      <c r="Q33" s="585">
        <f>SUMIF($AA$28:$AA$31,"industrie",Q28:Q31)</f>
        <v>0</v>
      </c>
      <c r="R33" s="585">
        <f>SUMIF($AA$28:$AA$31,"industrie",R28:R31)</f>
        <v>0</v>
      </c>
      <c r="S33" s="585">
        <f>SUMIF($AA$28:$AA$31,"industrie",S28:S31)</f>
        <v>0</v>
      </c>
      <c r="T33" s="585">
        <f>SUMIF($AA$28:$AA$31,"industrie",T28:T31)</f>
        <v>0</v>
      </c>
      <c r="U33" s="585">
        <f>SUMIF($AA$28:$AA$31,"industrie",U28:U31)</f>
        <v>0</v>
      </c>
      <c r="V33" s="585">
        <f>SUMIF($AA$28:$AA$31,"industrie",V28:V31)</f>
        <v>0</v>
      </c>
      <c r="W33" s="585">
        <f>SUMIF($AA$28:$AA$31,"industrie",W28:W31)</f>
        <v>0</v>
      </c>
      <c r="X33" s="585"/>
      <c r="Y33" s="586"/>
      <c r="Z33" s="586"/>
      <c r="AA33" s="587"/>
    </row>
    <row r="34" spans="1:28" s="563" customFormat="1">
      <c r="A34" s="583" t="s">
        <v>277</v>
      </c>
      <c r="B34" s="584"/>
      <c r="C34" s="584"/>
      <c r="D34" s="584"/>
      <c r="E34" s="584"/>
      <c r="F34" s="584"/>
      <c r="G34" s="584"/>
      <c r="H34" s="584"/>
      <c r="I34" s="584"/>
      <c r="J34" s="584"/>
      <c r="K34" s="584"/>
      <c r="L34" s="585"/>
      <c r="M34" s="585">
        <f ca="1">SUMIF($AA$28:AD31,"tertiair",M28:M31)</f>
        <v>2028</v>
      </c>
      <c r="N34" s="585">
        <f ca="1">SUMIF($AA$28:AE31,"tertiair",N28:N31)</f>
        <v>9126</v>
      </c>
      <c r="O34" s="585">
        <f ca="1">SUMIF($AA$28:AF31,"tertiair",O28:O31)</f>
        <v>13037.142857142857</v>
      </c>
      <c r="P34" s="585">
        <f ca="1">SUMIF($AA$28:AG31,"tertiair",P28:P31)</f>
        <v>26074.285714285717</v>
      </c>
      <c r="Q34" s="585">
        <f ca="1">SUMIF($AA$28:AH31,"tertiair",Q28:Q31)</f>
        <v>0</v>
      </c>
      <c r="R34" s="585">
        <f ca="1">SUMIF($AA$28:AI31,"tertiair",R28:R31)</f>
        <v>0</v>
      </c>
      <c r="S34" s="585">
        <f ca="1">SUMIF($AA$28:AJ31,"tertiair",S28:S31)</f>
        <v>0</v>
      </c>
      <c r="T34" s="585">
        <f ca="1">SUMIF($AA$28:AK31,"tertiair",T28:T31)</f>
        <v>0</v>
      </c>
      <c r="U34" s="585">
        <f ca="1">SUMIF($AA$28:AL31,"tertiair",U28:U31)</f>
        <v>0</v>
      </c>
      <c r="V34" s="585">
        <f ca="1">SUMIF($AA$28:AM31,"tertiair",V28:V31)</f>
        <v>0</v>
      </c>
      <c r="W34" s="585">
        <f ca="1">SUMIF($AA$28:AN31,"tertiair",W28:W31)</f>
        <v>0</v>
      </c>
      <c r="X34" s="585"/>
      <c r="Y34" s="586"/>
      <c r="Z34" s="586"/>
      <c r="AA34" s="587"/>
    </row>
    <row r="35" spans="1:28" s="563" customFormat="1" ht="15.75" thickBot="1">
      <c r="A35" s="588" t="s">
        <v>278</v>
      </c>
      <c r="B35" s="589"/>
      <c r="C35" s="589"/>
      <c r="D35" s="589"/>
      <c r="E35" s="589"/>
      <c r="F35" s="589"/>
      <c r="G35" s="589"/>
      <c r="H35" s="589"/>
      <c r="I35" s="589"/>
      <c r="J35" s="589"/>
      <c r="K35" s="589"/>
      <c r="L35" s="590"/>
      <c r="M35" s="590">
        <f>SUMIF($AA$28:$AA$31,"landbouw",M28:M31)</f>
        <v>8482</v>
      </c>
      <c r="N35" s="590">
        <f>SUMIF($AA$28:$AA$31,"landbouw",N28:N31)</f>
        <v>38169</v>
      </c>
      <c r="O35" s="590">
        <f>SUMIF($AA$28:$AA$31,"landbouw",O28:O31)</f>
        <v>54527.142857142855</v>
      </c>
      <c r="P35" s="590">
        <f>SUMIF($AA$28:$AA$31,"landbouw",P28:P31)</f>
        <v>109054.28571428572</v>
      </c>
      <c r="Q35" s="590">
        <f>SUMIF($AA$28:$AA$31,"landbouw",Q28:Q31)</f>
        <v>0</v>
      </c>
      <c r="R35" s="590">
        <f>SUMIF($AA$28:$AA$31,"landbouw",R28:R31)</f>
        <v>0</v>
      </c>
      <c r="S35" s="590">
        <f>SUMIF($AA$28:$AA$31,"landbouw",S28:S31)</f>
        <v>0</v>
      </c>
      <c r="T35" s="590">
        <f>SUMIF($AA$28:$AA$31,"landbouw",T28:T31)</f>
        <v>0</v>
      </c>
      <c r="U35" s="590">
        <f>SUMIF($AA$28:$AA$31,"landbouw",U28:U31)</f>
        <v>0</v>
      </c>
      <c r="V35" s="590">
        <f>SUMIF($AA$28:$AA$31,"landbouw",V28:V31)</f>
        <v>0</v>
      </c>
      <c r="W35" s="590">
        <f>SUMIF($AA$28:$AA$31,"landbouw",W28:W31)</f>
        <v>0</v>
      </c>
      <c r="X35" s="590"/>
      <c r="Y35" s="591"/>
      <c r="Z35" s="591"/>
      <c r="AA35" s="592"/>
    </row>
    <row r="36" spans="1:28" s="532" customFormat="1" ht="15.75" thickBot="1">
      <c r="A36" s="593"/>
      <c r="B36" s="594"/>
      <c r="C36" s="594"/>
      <c r="D36" s="594"/>
      <c r="E36" s="594"/>
      <c r="F36" s="594"/>
      <c r="G36" s="594"/>
      <c r="H36" s="594"/>
      <c r="I36" s="594"/>
      <c r="J36" s="594"/>
      <c r="K36" s="594"/>
      <c r="L36" s="577"/>
      <c r="M36" s="577"/>
      <c r="N36" s="577"/>
      <c r="O36" s="578"/>
      <c r="P36" s="578"/>
    </row>
    <row r="37" spans="1:28" s="532" customFormat="1" ht="45">
      <c r="A37" s="595" t="s">
        <v>270</v>
      </c>
      <c r="B37" s="624" t="s">
        <v>89</v>
      </c>
      <c r="C37" s="624" t="s">
        <v>90</v>
      </c>
      <c r="D37" s="624"/>
      <c r="E37" s="624"/>
      <c r="F37" s="624"/>
      <c r="G37" s="624" t="s">
        <v>91</v>
      </c>
      <c r="H37" s="624" t="s">
        <v>92</v>
      </c>
      <c r="I37" s="624"/>
      <c r="J37" s="624"/>
      <c r="K37" s="624"/>
      <c r="L37" s="624" t="s">
        <v>93</v>
      </c>
      <c r="M37" s="625" t="s">
        <v>287</v>
      </c>
      <c r="N37" s="625" t="s">
        <v>94</v>
      </c>
      <c r="O37" s="625" t="s">
        <v>95</v>
      </c>
      <c r="P37" s="625" t="s">
        <v>533</v>
      </c>
      <c r="Q37" s="625" t="s">
        <v>96</v>
      </c>
      <c r="R37" s="625" t="s">
        <v>97</v>
      </c>
      <c r="S37" s="625" t="s">
        <v>98</v>
      </c>
      <c r="T37" s="625" t="s">
        <v>99</v>
      </c>
      <c r="U37" s="625" t="s">
        <v>100</v>
      </c>
      <c r="V37" s="625" t="s">
        <v>101</v>
      </c>
      <c r="W37" s="624" t="s">
        <v>102</v>
      </c>
      <c r="X37" s="624" t="s">
        <v>941</v>
      </c>
      <c r="Y37" s="624" t="s">
        <v>288</v>
      </c>
      <c r="Z37" s="624" t="s">
        <v>103</v>
      </c>
      <c r="AA37" s="626" t="s">
        <v>289</v>
      </c>
    </row>
    <row r="38" spans="1:28" s="596" customFormat="1" ht="12.75" hidden="1">
      <c r="A38" s="582"/>
      <c r="B38" s="740"/>
      <c r="C38" s="740"/>
      <c r="D38" s="630"/>
      <c r="E38" s="630"/>
      <c r="F38" s="630"/>
      <c r="G38" s="630"/>
      <c r="H38" s="630"/>
      <c r="I38" s="630"/>
      <c r="J38" s="739"/>
      <c r="K38" s="739"/>
      <c r="L38" s="630"/>
      <c r="M38" s="630"/>
      <c r="N38" s="630"/>
      <c r="O38" s="630"/>
      <c r="P38" s="630"/>
      <c r="Q38" s="630"/>
      <c r="R38" s="630"/>
      <c r="S38" s="630"/>
      <c r="T38" s="630"/>
      <c r="U38" s="630"/>
      <c r="V38" s="630"/>
      <c r="W38" s="630"/>
      <c r="X38" s="630"/>
      <c r="Y38" s="630"/>
      <c r="Z38" s="630"/>
      <c r="AA38" s="631"/>
    </row>
    <row r="39" spans="1:28" s="563" customFormat="1" hidden="1">
      <c r="A39" s="583" t="s">
        <v>269</v>
      </c>
      <c r="B39" s="584"/>
      <c r="C39" s="584"/>
      <c r="D39" s="584"/>
      <c r="E39" s="584"/>
      <c r="F39" s="584"/>
      <c r="G39" s="584"/>
      <c r="H39" s="584"/>
      <c r="I39" s="584"/>
      <c r="J39" s="584"/>
      <c r="K39" s="584"/>
      <c r="L39" s="585"/>
      <c r="M39" s="585">
        <f>SUM(M38:M38)</f>
        <v>0</v>
      </c>
      <c r="N39" s="585">
        <f>SUM(N38:N38)</f>
        <v>0</v>
      </c>
      <c r="O39" s="585">
        <f>SUM(O38:O38)</f>
        <v>0</v>
      </c>
      <c r="P39" s="585">
        <f>SUM(P38:P38)</f>
        <v>0</v>
      </c>
      <c r="Q39" s="585">
        <f>SUM(Q38:Q38)</f>
        <v>0</v>
      </c>
      <c r="R39" s="585">
        <f>SUM(R38:R38)</f>
        <v>0</v>
      </c>
      <c r="S39" s="585">
        <f>SUM(S38:S38)</f>
        <v>0</v>
      </c>
      <c r="T39" s="585">
        <f>SUM(T38:T38)</f>
        <v>0</v>
      </c>
      <c r="U39" s="585">
        <f>SUM(U38:U38)</f>
        <v>0</v>
      </c>
      <c r="V39" s="585">
        <f>SUM(V38:V38)</f>
        <v>0</v>
      </c>
      <c r="W39" s="585">
        <f>SUM(W38:W38)</f>
        <v>0</v>
      </c>
      <c r="X39" s="585"/>
      <c r="Y39" s="586"/>
      <c r="Z39" s="586"/>
      <c r="AA39" s="587"/>
    </row>
    <row r="40" spans="1:28" s="563" customFormat="1">
      <c r="A40" s="583" t="s">
        <v>276</v>
      </c>
      <c r="B40" s="584"/>
      <c r="C40" s="584"/>
      <c r="D40" s="584"/>
      <c r="E40" s="584"/>
      <c r="F40" s="584"/>
      <c r="G40" s="584"/>
      <c r="H40" s="584"/>
      <c r="I40" s="584"/>
      <c r="J40" s="584"/>
      <c r="K40" s="584"/>
      <c r="L40" s="585"/>
      <c r="M40" s="585">
        <f>SUMIF($AA$38:$AA$38,"industrie",M38:M38)</f>
        <v>0</v>
      </c>
      <c r="N40" s="585">
        <f>SUMIF($AA$38:$AA$38,"industrie",N38:N38)</f>
        <v>0</v>
      </c>
      <c r="O40" s="585">
        <f>SUMIF($AA$38:$AA$38,"industrie",O38:O38)</f>
        <v>0</v>
      </c>
      <c r="P40" s="585">
        <f>SUMIF($AA$38:$AA$38,"industrie",P38:P38)</f>
        <v>0</v>
      </c>
      <c r="Q40" s="585">
        <f>SUMIF($AA$38:$AA$38,"industrie",Q38:Q38)</f>
        <v>0</v>
      </c>
      <c r="R40" s="585">
        <f>SUMIF($AA$38:$AA$38,"industrie",R38:R38)</f>
        <v>0</v>
      </c>
      <c r="S40" s="585">
        <f>SUMIF($AA$38:$AA$38,"industrie",S38:S38)</f>
        <v>0</v>
      </c>
      <c r="T40" s="585">
        <f>SUMIF($AA$38:$AA$38,"industrie",T38:T38)</f>
        <v>0</v>
      </c>
      <c r="U40" s="585">
        <f>SUMIF($AA$38:$AA$38,"industrie",U38:U38)</f>
        <v>0</v>
      </c>
      <c r="V40" s="585">
        <f>SUMIF($AA$38:$AA$38,"industrie",V38:V38)</f>
        <v>0</v>
      </c>
      <c r="W40" s="585">
        <f>SUMIF($AA$38:$AA$38,"industrie",W38:W38)</f>
        <v>0</v>
      </c>
      <c r="X40" s="585"/>
      <c r="Y40" s="586"/>
      <c r="Z40" s="586"/>
      <c r="AA40" s="587"/>
    </row>
    <row r="41" spans="1:28" s="563" customFormat="1">
      <c r="A41" s="583" t="s">
        <v>277</v>
      </c>
      <c r="B41" s="584"/>
      <c r="C41" s="584"/>
      <c r="D41" s="584"/>
      <c r="E41" s="584"/>
      <c r="F41" s="584"/>
      <c r="G41" s="584"/>
      <c r="H41" s="584"/>
      <c r="I41" s="584"/>
      <c r="J41" s="584"/>
      <c r="K41" s="584"/>
      <c r="L41" s="585"/>
      <c r="M41" s="585">
        <f>SUMIF($AA$38:$AA$39,"tertiair",M38:M39)</f>
        <v>0</v>
      </c>
      <c r="N41" s="585">
        <f>SUMIF($AA$38:$AA$39,"tertiair",N38:N39)</f>
        <v>0</v>
      </c>
      <c r="O41" s="585">
        <f>SUMIF($AA$38:$AA$39,"tertiair",O38:O39)</f>
        <v>0</v>
      </c>
      <c r="P41" s="585">
        <f>SUMIF($AA$38:$AA$39,"tertiair",P38:P39)</f>
        <v>0</v>
      </c>
      <c r="Q41" s="585">
        <f>SUMIF($AA$38:$AA$39,"tertiair",Q38:Q39)</f>
        <v>0</v>
      </c>
      <c r="R41" s="585">
        <f>SUMIF($AA$38:$AA$39,"tertiair",R38:R39)</f>
        <v>0</v>
      </c>
      <c r="S41" s="585">
        <f>SUMIF($AA$38:$AA$39,"tertiair",S38:S39)</f>
        <v>0</v>
      </c>
      <c r="T41" s="585">
        <f>SUMIF($AA$38:$AA$39,"tertiair",T38:T39)</f>
        <v>0</v>
      </c>
      <c r="U41" s="585">
        <f>SUMIF($AA$38:$AA$39,"tertiair",U38:U39)</f>
        <v>0</v>
      </c>
      <c r="V41" s="585">
        <f>SUMIF($AA$38:$AA$39,"tertiair",V38:V39)</f>
        <v>0</v>
      </c>
      <c r="W41" s="585">
        <f>SUMIF($AA$38:$AA$39,"tertiair",W38:W39)</f>
        <v>0</v>
      </c>
      <c r="X41" s="585"/>
      <c r="Y41" s="586"/>
      <c r="Z41" s="586"/>
      <c r="AA41" s="587"/>
    </row>
    <row r="42" spans="1:28" s="563" customFormat="1" ht="15.75" thickBot="1">
      <c r="A42" s="588" t="s">
        <v>278</v>
      </c>
      <c r="B42" s="589"/>
      <c r="C42" s="589"/>
      <c r="D42" s="589"/>
      <c r="E42" s="589"/>
      <c r="F42" s="589"/>
      <c r="G42" s="589"/>
      <c r="H42" s="589"/>
      <c r="I42" s="589"/>
      <c r="J42" s="589"/>
      <c r="K42" s="589"/>
      <c r="L42" s="590"/>
      <c r="M42" s="590">
        <f>SUMIF($AA$38:$AA$40,"landbouw",M38:M40)</f>
        <v>0</v>
      </c>
      <c r="N42" s="590">
        <f>SUMIF($AA$38:$AA$40,"landbouw",N38:N40)</f>
        <v>0</v>
      </c>
      <c r="O42" s="590">
        <f>SUMIF($AA$38:$AA$40,"landbouw",O38:O40)</f>
        <v>0</v>
      </c>
      <c r="P42" s="590">
        <f>SUMIF($AA$38:$AA$40,"landbouw",P38:P40)</f>
        <v>0</v>
      </c>
      <c r="Q42" s="590">
        <f>SUMIF($AA$38:$AA$40,"landbouw",Q38:Q40)</f>
        <v>0</v>
      </c>
      <c r="R42" s="590">
        <f>SUMIF($AA$38:$AA$40,"landbouw",R38:R40)</f>
        <v>0</v>
      </c>
      <c r="S42" s="590">
        <f>SUMIF($AA$38:$AA$40,"landbouw",S38:S40)</f>
        <v>0</v>
      </c>
      <c r="T42" s="590">
        <f>SUMIF($AA$38:$AA$40,"landbouw",T38:T40)</f>
        <v>0</v>
      </c>
      <c r="U42" s="590">
        <f>SUMIF($AA$38:$AA$40,"landbouw",U38:U40)</f>
        <v>0</v>
      </c>
      <c r="V42" s="590">
        <f>SUMIF($AA$38:$AA$40,"landbouw",V38:V40)</f>
        <v>0</v>
      </c>
      <c r="W42" s="590">
        <f>SUMIF($AA$38:$AA$40,"landbouw",W38:W40)</f>
        <v>0</v>
      </c>
      <c r="X42" s="590"/>
      <c r="Y42" s="591"/>
      <c r="Z42" s="591"/>
      <c r="AA42" s="592"/>
    </row>
    <row r="43" spans="1:28" s="597" customFormat="1">
      <c r="A43" s="593"/>
      <c r="B43" s="577"/>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row>
    <row r="44" spans="1:28" s="597" customFormat="1" ht="15.75" thickBot="1">
      <c r="A44" s="593"/>
      <c r="B44" s="577"/>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row>
    <row r="45" spans="1:28">
      <c r="A45" s="598" t="s">
        <v>271</v>
      </c>
      <c r="B45" s="599"/>
      <c r="C45" s="599"/>
      <c r="D45" s="599"/>
      <c r="E45" s="599"/>
      <c r="F45" s="599"/>
      <c r="G45" s="599"/>
      <c r="H45" s="599"/>
      <c r="I45" s="600"/>
      <c r="J45" s="601"/>
      <c r="K45" s="601"/>
      <c r="L45" s="602"/>
      <c r="M45" s="602"/>
      <c r="N45" s="602"/>
      <c r="O45" s="602"/>
      <c r="P45" s="602"/>
    </row>
    <row r="46" spans="1:28">
      <c r="A46" s="604"/>
      <c r="B46" s="594"/>
      <c r="C46" s="594"/>
      <c r="D46" s="594"/>
      <c r="E46" s="594"/>
      <c r="F46" s="594"/>
      <c r="G46" s="594"/>
      <c r="H46" s="594"/>
      <c r="I46" s="605"/>
      <c r="J46" s="594"/>
      <c r="K46" s="594"/>
      <c r="L46" s="602"/>
      <c r="M46" s="602"/>
      <c r="N46" s="602"/>
      <c r="O46" s="602"/>
      <c r="P46" s="602"/>
    </row>
    <row r="47" spans="1:28">
      <c r="A47" s="606"/>
      <c r="B47" s="607" t="s">
        <v>272</v>
      </c>
      <c r="C47" s="607" t="s">
        <v>273</v>
      </c>
      <c r="D47" s="607"/>
      <c r="E47" s="607"/>
      <c r="F47" s="607"/>
      <c r="G47" s="607"/>
      <c r="H47" s="607"/>
      <c r="I47" s="608"/>
      <c r="J47" s="607"/>
      <c r="K47" s="607"/>
      <c r="L47" s="607"/>
      <c r="M47" s="607"/>
      <c r="N47" s="607"/>
      <c r="O47" s="607"/>
      <c r="P47" s="602"/>
    </row>
    <row r="48" spans="1:28">
      <c r="A48" s="604" t="s">
        <v>269</v>
      </c>
      <c r="B48" s="609">
        <f>IF(ISERROR(O32/(O32+N32)),0,O32/(O32+N32))</f>
        <v>0.58823529411764708</v>
      </c>
      <c r="C48" s="610">
        <f>IF(ISERROR(N32/(O32+N32)),0,N32/(N32+O32))</f>
        <v>0.41176470588235298</v>
      </c>
      <c r="D48" s="577"/>
      <c r="E48" s="577"/>
      <c r="F48" s="577"/>
      <c r="G48" s="577"/>
      <c r="H48" s="577"/>
      <c r="I48" s="611"/>
      <c r="J48" s="577"/>
      <c r="K48" s="577"/>
      <c r="L48" s="612"/>
      <c r="M48" s="612"/>
      <c r="N48" s="612"/>
      <c r="O48" s="612"/>
      <c r="P48" s="602"/>
    </row>
    <row r="49" spans="1:16">
      <c r="A49" s="604"/>
      <c r="B49" s="613"/>
      <c r="C49" s="613"/>
      <c r="D49" s="613"/>
      <c r="E49" s="613"/>
      <c r="F49" s="613"/>
      <c r="G49" s="613"/>
      <c r="H49" s="613"/>
      <c r="I49" s="614"/>
      <c r="J49" s="613"/>
      <c r="K49" s="613"/>
      <c r="L49" s="615"/>
      <c r="M49" s="615"/>
      <c r="N49" s="615"/>
      <c r="O49" s="615"/>
      <c r="P49" s="602"/>
    </row>
    <row r="50" spans="1:16" ht="30">
      <c r="A50" s="616"/>
      <c r="B50" s="617" t="s">
        <v>533</v>
      </c>
      <c r="C50" s="617" t="s">
        <v>96</v>
      </c>
      <c r="D50" s="617" t="s">
        <v>97</v>
      </c>
      <c r="E50" s="617" t="s">
        <v>98</v>
      </c>
      <c r="F50" s="617" t="s">
        <v>99</v>
      </c>
      <c r="G50" s="617" t="s">
        <v>100</v>
      </c>
      <c r="H50" s="617" t="s">
        <v>101</v>
      </c>
      <c r="I50" s="618" t="s">
        <v>102</v>
      </c>
      <c r="J50" s="607"/>
      <c r="K50" s="607"/>
      <c r="L50" s="615"/>
      <c r="M50" s="615"/>
      <c r="N50" s="615"/>
      <c r="O50" s="602"/>
      <c r="P50" s="602"/>
    </row>
    <row r="51" spans="1:16">
      <c r="A51" s="606" t="s">
        <v>274</v>
      </c>
      <c r="B51" s="619">
        <f t="shared" ref="B51:I51" si="2">$C$48*P32</f>
        <v>55641.176470588238</v>
      </c>
      <c r="C51" s="619">
        <f t="shared" si="2"/>
        <v>0</v>
      </c>
      <c r="D51" s="619">
        <f t="shared" si="2"/>
        <v>0</v>
      </c>
      <c r="E51" s="619">
        <f t="shared" si="2"/>
        <v>0</v>
      </c>
      <c r="F51" s="619">
        <f t="shared" si="2"/>
        <v>0</v>
      </c>
      <c r="G51" s="619">
        <f t="shared" si="2"/>
        <v>0</v>
      </c>
      <c r="H51" s="619">
        <f t="shared" si="2"/>
        <v>0</v>
      </c>
      <c r="I51" s="620">
        <f t="shared" si="2"/>
        <v>0</v>
      </c>
      <c r="J51" s="577"/>
      <c r="K51" s="577"/>
      <c r="L51" s="615"/>
      <c r="M51" s="615"/>
      <c r="N51" s="615"/>
      <c r="O51" s="602"/>
      <c r="P51" s="602"/>
    </row>
    <row r="52" spans="1:16" ht="15.75" thickBot="1">
      <c r="A52" s="621" t="s">
        <v>275</v>
      </c>
      <c r="B52" s="622">
        <f t="shared" ref="B52:I52" si="3">$B$48*P32</f>
        <v>79487.394957983197</v>
      </c>
      <c r="C52" s="622">
        <f t="shared" si="3"/>
        <v>0</v>
      </c>
      <c r="D52" s="622">
        <f t="shared" si="3"/>
        <v>0</v>
      </c>
      <c r="E52" s="622">
        <f t="shared" si="3"/>
        <v>0</v>
      </c>
      <c r="F52" s="622">
        <f t="shared" si="3"/>
        <v>0</v>
      </c>
      <c r="G52" s="622">
        <f t="shared" si="3"/>
        <v>0</v>
      </c>
      <c r="H52" s="622">
        <f t="shared" si="3"/>
        <v>0</v>
      </c>
      <c r="I52" s="623">
        <f t="shared" si="3"/>
        <v>0</v>
      </c>
      <c r="J52" s="577"/>
      <c r="K52" s="577"/>
      <c r="L52" s="615"/>
      <c r="M52" s="615"/>
      <c r="N52" s="615"/>
      <c r="O52" s="602"/>
      <c r="P52" s="602"/>
    </row>
    <row r="53" spans="1:16">
      <c r="J53" s="561"/>
      <c r="K53" s="561"/>
      <c r="L53" s="561"/>
      <c r="M53" s="561"/>
      <c r="N53" s="561"/>
    </row>
    <row r="54" spans="1:16">
      <c r="J54" s="561"/>
      <c r="K54" s="561"/>
      <c r="L54" s="561"/>
      <c r="M54" s="561"/>
      <c r="N54"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55931.789536405733</v>
      </c>
      <c r="D10" s="639">
        <f ca="1">tertiair!C16</f>
        <v>13037.142857142857</v>
      </c>
      <c r="E10" s="639">
        <f ca="1">tertiair!D16</f>
        <v>37561.852650723733</v>
      </c>
      <c r="F10" s="639">
        <f>tertiair!E16</f>
        <v>294.1337645621856</v>
      </c>
      <c r="G10" s="639">
        <f ca="1">tertiair!F16</f>
        <v>8079.9789314642394</v>
      </c>
      <c r="H10" s="639">
        <f>tertiair!G16</f>
        <v>0</v>
      </c>
      <c r="I10" s="639">
        <f>tertiair!H16</f>
        <v>0</v>
      </c>
      <c r="J10" s="639">
        <f>tertiair!I16</f>
        <v>0</v>
      </c>
      <c r="K10" s="639">
        <f>tertiair!J16</f>
        <v>0</v>
      </c>
      <c r="L10" s="639">
        <f>tertiair!K16</f>
        <v>0</v>
      </c>
      <c r="M10" s="639">
        <f ca="1">tertiair!L16</f>
        <v>0</v>
      </c>
      <c r="N10" s="639">
        <f>tertiair!M16</f>
        <v>0</v>
      </c>
      <c r="O10" s="639">
        <f ca="1">tertiair!N16</f>
        <v>1628.0333906421436</v>
      </c>
      <c r="P10" s="639">
        <f>tertiair!O16</f>
        <v>0</v>
      </c>
      <c r="Q10" s="640">
        <f>tertiair!P16</f>
        <v>38.133333333333333</v>
      </c>
      <c r="R10" s="642">
        <f ca="1">SUM(C10:Q10)</f>
        <v>116571.06446427421</v>
      </c>
      <c r="S10" s="68"/>
    </row>
    <row r="11" spans="1:19" s="443" customFormat="1">
      <c r="A11" s="753" t="s">
        <v>214</v>
      </c>
      <c r="B11" s="758"/>
      <c r="C11" s="639">
        <f>huishoudens!B8</f>
        <v>39088.154406622998</v>
      </c>
      <c r="D11" s="639">
        <f>huishoudens!C8</f>
        <v>0</v>
      </c>
      <c r="E11" s="639">
        <f>huishoudens!D8</f>
        <v>112960.32472685585</v>
      </c>
      <c r="F11" s="639">
        <f>huishoudens!E8</f>
        <v>1033.0129130359589</v>
      </c>
      <c r="G11" s="639">
        <f>huishoudens!F8</f>
        <v>31493.564576350946</v>
      </c>
      <c r="H11" s="639">
        <f>huishoudens!G8</f>
        <v>0</v>
      </c>
      <c r="I11" s="639">
        <f>huishoudens!H8</f>
        <v>0</v>
      </c>
      <c r="J11" s="639">
        <f>huishoudens!I8</f>
        <v>0</v>
      </c>
      <c r="K11" s="639">
        <f>huishoudens!J8</f>
        <v>571.43975543651493</v>
      </c>
      <c r="L11" s="639">
        <f>huishoudens!K8</f>
        <v>0</v>
      </c>
      <c r="M11" s="639">
        <f>huishoudens!L8</f>
        <v>0</v>
      </c>
      <c r="N11" s="639">
        <f>huishoudens!M8</f>
        <v>0</v>
      </c>
      <c r="O11" s="639">
        <f>huishoudens!N8</f>
        <v>11389.536147632009</v>
      </c>
      <c r="P11" s="639">
        <f>huishoudens!O8</f>
        <v>107.87</v>
      </c>
      <c r="Q11" s="640">
        <f>huishoudens!P8</f>
        <v>152.53333333333333</v>
      </c>
      <c r="R11" s="642">
        <f>SUM(C11:Q11)</f>
        <v>196796.43585926757</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11838.829082554697</v>
      </c>
      <c r="D13" s="639">
        <f>industrie!C18</f>
        <v>0</v>
      </c>
      <c r="E13" s="639">
        <f>industrie!D18</f>
        <v>12678.755978483923</v>
      </c>
      <c r="F13" s="639">
        <f>industrie!E18</f>
        <v>136.7452919548565</v>
      </c>
      <c r="G13" s="639">
        <f>industrie!F18</f>
        <v>4175.1876253842238</v>
      </c>
      <c r="H13" s="639">
        <f>industrie!G18</f>
        <v>0</v>
      </c>
      <c r="I13" s="639">
        <f>industrie!H18</f>
        <v>0</v>
      </c>
      <c r="J13" s="639">
        <f>industrie!I18</f>
        <v>0</v>
      </c>
      <c r="K13" s="639">
        <f>industrie!J18</f>
        <v>29.079400836971701</v>
      </c>
      <c r="L13" s="639">
        <f>industrie!K18</f>
        <v>0</v>
      </c>
      <c r="M13" s="639">
        <f>industrie!L18</f>
        <v>0</v>
      </c>
      <c r="N13" s="639">
        <f>industrie!M18</f>
        <v>0</v>
      </c>
      <c r="O13" s="639">
        <f>industrie!N18</f>
        <v>1032.7413476351453</v>
      </c>
      <c r="P13" s="639">
        <f>industrie!O18</f>
        <v>0</v>
      </c>
      <c r="Q13" s="640">
        <f>industrie!P18</f>
        <v>0</v>
      </c>
      <c r="R13" s="642">
        <f>SUM(C13:Q13)</f>
        <v>29891.338726849815</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106858.77302558343</v>
      </c>
      <c r="D16" s="672">
        <f t="shared" ref="D16:R16" ca="1" si="0">SUM(D9:D15)</f>
        <v>13037.142857142857</v>
      </c>
      <c r="E16" s="672">
        <f t="shared" ca="1" si="0"/>
        <v>163200.9333560635</v>
      </c>
      <c r="F16" s="672">
        <f t="shared" si="0"/>
        <v>1463.8919695530012</v>
      </c>
      <c r="G16" s="672">
        <f t="shared" ca="1" si="0"/>
        <v>43748.731133199413</v>
      </c>
      <c r="H16" s="672">
        <f t="shared" si="0"/>
        <v>0</v>
      </c>
      <c r="I16" s="672">
        <f t="shared" si="0"/>
        <v>0</v>
      </c>
      <c r="J16" s="672">
        <f t="shared" si="0"/>
        <v>0</v>
      </c>
      <c r="K16" s="672">
        <f t="shared" si="0"/>
        <v>600.5191562734866</v>
      </c>
      <c r="L16" s="672">
        <f t="shared" si="0"/>
        <v>0</v>
      </c>
      <c r="M16" s="672">
        <f t="shared" ca="1" si="0"/>
        <v>0</v>
      </c>
      <c r="N16" s="672">
        <f t="shared" si="0"/>
        <v>0</v>
      </c>
      <c r="O16" s="672">
        <f t="shared" ca="1" si="0"/>
        <v>14050.310885909297</v>
      </c>
      <c r="P16" s="672">
        <f t="shared" si="0"/>
        <v>107.87</v>
      </c>
      <c r="Q16" s="672">
        <f t="shared" si="0"/>
        <v>190.66666666666666</v>
      </c>
      <c r="R16" s="672">
        <f t="shared" ca="1" si="0"/>
        <v>343258.83905039163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10.562068509521437</v>
      </c>
      <c r="D19" s="639">
        <f>transport!C54</f>
        <v>0</v>
      </c>
      <c r="E19" s="639">
        <f>transport!D54</f>
        <v>0</v>
      </c>
      <c r="F19" s="639">
        <f>transport!E54</f>
        <v>0</v>
      </c>
      <c r="G19" s="639">
        <f>transport!F54</f>
        <v>0</v>
      </c>
      <c r="H19" s="639">
        <f>transport!G54</f>
        <v>2106.6254463815144</v>
      </c>
      <c r="I19" s="639">
        <f>transport!H54</f>
        <v>0</v>
      </c>
      <c r="J19" s="639">
        <f>transport!I54</f>
        <v>0</v>
      </c>
      <c r="K19" s="639">
        <f>transport!J54</f>
        <v>0</v>
      </c>
      <c r="L19" s="639">
        <f>transport!K54</f>
        <v>0</v>
      </c>
      <c r="M19" s="639">
        <f>transport!L54</f>
        <v>0</v>
      </c>
      <c r="N19" s="639">
        <f>transport!M54</f>
        <v>93.110601083534561</v>
      </c>
      <c r="O19" s="639">
        <f>transport!N54</f>
        <v>0</v>
      </c>
      <c r="P19" s="639">
        <f>transport!O54</f>
        <v>0</v>
      </c>
      <c r="Q19" s="640">
        <f>transport!P54</f>
        <v>0</v>
      </c>
      <c r="R19" s="642">
        <f>SUM(C19:Q19)</f>
        <v>2210.2981159745705</v>
      </c>
      <c r="S19" s="68"/>
    </row>
    <row r="20" spans="1:19" s="443" customFormat="1">
      <c r="A20" s="753" t="s">
        <v>296</v>
      </c>
      <c r="B20" s="758"/>
      <c r="C20" s="639">
        <f>transport!B14</f>
        <v>15.168294459940217</v>
      </c>
      <c r="D20" s="639">
        <f>transport!C14</f>
        <v>0</v>
      </c>
      <c r="E20" s="639">
        <f>transport!D14</f>
        <v>17.307514374194248</v>
      </c>
      <c r="F20" s="639">
        <f>transport!E14</f>
        <v>1246.7606799015236</v>
      </c>
      <c r="G20" s="639">
        <f>transport!F14</f>
        <v>0</v>
      </c>
      <c r="H20" s="639">
        <f>transport!G14</f>
        <v>312044.98861334479</v>
      </c>
      <c r="I20" s="639">
        <f>transport!H14</f>
        <v>45576.054659910573</v>
      </c>
      <c r="J20" s="639">
        <f>transport!I14</f>
        <v>0</v>
      </c>
      <c r="K20" s="639">
        <f>transport!J14</f>
        <v>0</v>
      </c>
      <c r="L20" s="639">
        <f>transport!K14</f>
        <v>0</v>
      </c>
      <c r="M20" s="639">
        <f>transport!L14</f>
        <v>0</v>
      </c>
      <c r="N20" s="639">
        <f>transport!M14</f>
        <v>15972.271688388721</v>
      </c>
      <c r="O20" s="639">
        <f>transport!N14</f>
        <v>0</v>
      </c>
      <c r="P20" s="639">
        <f>transport!O14</f>
        <v>0</v>
      </c>
      <c r="Q20" s="640">
        <f>transport!P14</f>
        <v>0</v>
      </c>
      <c r="R20" s="642">
        <f>SUM(C20:Q20)</f>
        <v>374872.55145037972</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25.730362969461652</v>
      </c>
      <c r="D22" s="756">
        <f t="shared" ref="D22:R22" si="1">SUM(D18:D21)</f>
        <v>0</v>
      </c>
      <c r="E22" s="756">
        <f t="shared" si="1"/>
        <v>17.307514374194248</v>
      </c>
      <c r="F22" s="756">
        <f t="shared" si="1"/>
        <v>1246.7606799015236</v>
      </c>
      <c r="G22" s="756">
        <f t="shared" si="1"/>
        <v>0</v>
      </c>
      <c r="H22" s="756">
        <f t="shared" si="1"/>
        <v>314151.6140597263</v>
      </c>
      <c r="I22" s="756">
        <f t="shared" si="1"/>
        <v>45576.054659910573</v>
      </c>
      <c r="J22" s="756">
        <f t="shared" si="1"/>
        <v>0</v>
      </c>
      <c r="K22" s="756">
        <f t="shared" si="1"/>
        <v>0</v>
      </c>
      <c r="L22" s="756">
        <f t="shared" si="1"/>
        <v>0</v>
      </c>
      <c r="M22" s="756">
        <f t="shared" si="1"/>
        <v>0</v>
      </c>
      <c r="N22" s="756">
        <f t="shared" si="1"/>
        <v>16065.382289472254</v>
      </c>
      <c r="O22" s="756">
        <f t="shared" si="1"/>
        <v>0</v>
      </c>
      <c r="P22" s="756">
        <f t="shared" si="1"/>
        <v>0</v>
      </c>
      <c r="Q22" s="756">
        <f t="shared" si="1"/>
        <v>0</v>
      </c>
      <c r="R22" s="756">
        <f t="shared" si="1"/>
        <v>377082.8495663543</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1485.5681667953991</v>
      </c>
      <c r="D24" s="639">
        <f>+landbouw!C8</f>
        <v>54527.142857142855</v>
      </c>
      <c r="E24" s="639">
        <f>+landbouw!D8</f>
        <v>0</v>
      </c>
      <c r="F24" s="639">
        <f>+landbouw!E8</f>
        <v>14.670256032999045</v>
      </c>
      <c r="G24" s="639">
        <f>+landbouw!F8</f>
        <v>4956.2484827492844</v>
      </c>
      <c r="H24" s="639">
        <f>+landbouw!G8</f>
        <v>0</v>
      </c>
      <c r="I24" s="639">
        <f>+landbouw!H8</f>
        <v>0</v>
      </c>
      <c r="J24" s="639">
        <f>+landbouw!I8</f>
        <v>0</v>
      </c>
      <c r="K24" s="639">
        <f>+landbouw!J8</f>
        <v>148.21461285311639</v>
      </c>
      <c r="L24" s="639">
        <f>+landbouw!K8</f>
        <v>0</v>
      </c>
      <c r="M24" s="639">
        <f>+landbouw!L8</f>
        <v>0</v>
      </c>
      <c r="N24" s="639">
        <f>+landbouw!M8</f>
        <v>0</v>
      </c>
      <c r="O24" s="639">
        <f>+landbouw!N8</f>
        <v>0</v>
      </c>
      <c r="P24" s="639">
        <f>+landbouw!O8</f>
        <v>0</v>
      </c>
      <c r="Q24" s="640">
        <f>+landbouw!P8</f>
        <v>0</v>
      </c>
      <c r="R24" s="642">
        <f>SUM(C24:Q24)</f>
        <v>61131.844375573652</v>
      </c>
      <c r="S24" s="68"/>
    </row>
    <row r="25" spans="1:19" s="443" customFormat="1" ht="15" thickBot="1">
      <c r="A25" s="775" t="s">
        <v>847</v>
      </c>
      <c r="B25" s="941"/>
      <c r="C25" s="942">
        <f>IF(Onbekend_ele_kWh="---",0,Onbekend_ele_kWh)/1000+IF(REST_rest_ele_kWh="---",0,REST_rest_ele_kWh)/1000</f>
        <v>1220.1474369075702</v>
      </c>
      <c r="D25" s="942"/>
      <c r="E25" s="942">
        <f>IF(onbekend_gas_kWh="---",0,onbekend_gas_kWh)/1000+IF(REST_rest_gas_kWh="---",0,REST_rest_gas_kWh)/1000</f>
        <v>4128.5319186262695</v>
      </c>
      <c r="F25" s="942"/>
      <c r="G25" s="942"/>
      <c r="H25" s="942"/>
      <c r="I25" s="942"/>
      <c r="J25" s="942"/>
      <c r="K25" s="942"/>
      <c r="L25" s="942"/>
      <c r="M25" s="942"/>
      <c r="N25" s="942"/>
      <c r="O25" s="942"/>
      <c r="P25" s="942"/>
      <c r="Q25" s="943"/>
      <c r="R25" s="642">
        <f>SUM(C25:Q25)</f>
        <v>5348.67935553384</v>
      </c>
      <c r="S25" s="68"/>
    </row>
    <row r="26" spans="1:19" s="443" customFormat="1" ht="15.75" thickBot="1">
      <c r="A26" s="645" t="s">
        <v>848</v>
      </c>
      <c r="B26" s="761"/>
      <c r="C26" s="756">
        <f>SUM(C24:C25)</f>
        <v>2705.715603702969</v>
      </c>
      <c r="D26" s="756">
        <f t="shared" ref="D26:R26" si="2">SUM(D24:D25)</f>
        <v>54527.142857142855</v>
      </c>
      <c r="E26" s="756">
        <f t="shared" si="2"/>
        <v>4128.5319186262695</v>
      </c>
      <c r="F26" s="756">
        <f t="shared" si="2"/>
        <v>14.670256032999045</v>
      </c>
      <c r="G26" s="756">
        <f t="shared" si="2"/>
        <v>4956.2484827492844</v>
      </c>
      <c r="H26" s="756">
        <f t="shared" si="2"/>
        <v>0</v>
      </c>
      <c r="I26" s="756">
        <f t="shared" si="2"/>
        <v>0</v>
      </c>
      <c r="J26" s="756">
        <f t="shared" si="2"/>
        <v>0</v>
      </c>
      <c r="K26" s="756">
        <f t="shared" si="2"/>
        <v>148.21461285311639</v>
      </c>
      <c r="L26" s="756">
        <f t="shared" si="2"/>
        <v>0</v>
      </c>
      <c r="M26" s="756">
        <f t="shared" si="2"/>
        <v>0</v>
      </c>
      <c r="N26" s="756">
        <f t="shared" si="2"/>
        <v>0</v>
      </c>
      <c r="O26" s="756">
        <f t="shared" si="2"/>
        <v>0</v>
      </c>
      <c r="P26" s="756">
        <f t="shared" si="2"/>
        <v>0</v>
      </c>
      <c r="Q26" s="756">
        <f t="shared" si="2"/>
        <v>0</v>
      </c>
      <c r="R26" s="756">
        <f t="shared" si="2"/>
        <v>66480.523731107489</v>
      </c>
      <c r="S26" s="68"/>
    </row>
    <row r="27" spans="1:19" s="443" customFormat="1" ht="17.25" thickTop="1" thickBot="1">
      <c r="A27" s="646" t="s">
        <v>109</v>
      </c>
      <c r="B27" s="748"/>
      <c r="C27" s="647">
        <f ca="1">C22+C16+C26</f>
        <v>109590.21899225586</v>
      </c>
      <c r="D27" s="647">
        <f t="shared" ref="D27:R27" ca="1" si="3">D22+D16+D26</f>
        <v>67564.28571428571</v>
      </c>
      <c r="E27" s="647">
        <f t="shared" ca="1" si="3"/>
        <v>167346.77278906398</v>
      </c>
      <c r="F27" s="647">
        <f t="shared" si="3"/>
        <v>2725.3229054875242</v>
      </c>
      <c r="G27" s="647">
        <f t="shared" ca="1" si="3"/>
        <v>48704.979615948701</v>
      </c>
      <c r="H27" s="647">
        <f t="shared" si="3"/>
        <v>314151.6140597263</v>
      </c>
      <c r="I27" s="647">
        <f t="shared" si="3"/>
        <v>45576.054659910573</v>
      </c>
      <c r="J27" s="647">
        <f t="shared" si="3"/>
        <v>0</v>
      </c>
      <c r="K27" s="647">
        <f t="shared" si="3"/>
        <v>748.73376912660297</v>
      </c>
      <c r="L27" s="647">
        <f t="shared" si="3"/>
        <v>0</v>
      </c>
      <c r="M27" s="647">
        <f t="shared" ca="1" si="3"/>
        <v>0</v>
      </c>
      <c r="N27" s="647">
        <f t="shared" si="3"/>
        <v>16065.382289472254</v>
      </c>
      <c r="O27" s="647">
        <f t="shared" ca="1" si="3"/>
        <v>14050.310885909297</v>
      </c>
      <c r="P27" s="647">
        <f t="shared" si="3"/>
        <v>107.87</v>
      </c>
      <c r="Q27" s="647">
        <f t="shared" si="3"/>
        <v>190.66666666666666</v>
      </c>
      <c r="R27" s="647">
        <f t="shared" ca="1" si="3"/>
        <v>786822.21234785335</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12024.533416791348</v>
      </c>
      <c r="D40" s="639">
        <f ca="1">tertiair!C20</f>
        <v>3098.2386554621853</v>
      </c>
      <c r="E40" s="639">
        <f ca="1">tertiair!D20</f>
        <v>7587.4942354461946</v>
      </c>
      <c r="F40" s="639">
        <f>tertiair!E20</f>
        <v>66.768364555616131</v>
      </c>
      <c r="G40" s="639">
        <f ca="1">tertiair!F20</f>
        <v>2157.3543747009521</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24934.389046956298</v>
      </c>
    </row>
    <row r="41" spans="1:18">
      <c r="A41" s="766" t="s">
        <v>214</v>
      </c>
      <c r="B41" s="773"/>
      <c r="C41" s="639">
        <f ca="1">huishoudens!B12</f>
        <v>8403.3931822833329</v>
      </c>
      <c r="D41" s="639">
        <f ca="1">huishoudens!C12</f>
        <v>0</v>
      </c>
      <c r="E41" s="639">
        <f>huishoudens!D12</f>
        <v>22817.985594824884</v>
      </c>
      <c r="F41" s="639">
        <f>huishoudens!E12</f>
        <v>234.49393125916268</v>
      </c>
      <c r="G41" s="639">
        <f>huishoudens!F12</f>
        <v>8408.781741885703</v>
      </c>
      <c r="H41" s="639">
        <f>huishoudens!G12</f>
        <v>0</v>
      </c>
      <c r="I41" s="639">
        <f>huishoudens!H12</f>
        <v>0</v>
      </c>
      <c r="J41" s="639">
        <f>huishoudens!I12</f>
        <v>0</v>
      </c>
      <c r="K41" s="639">
        <f>huishoudens!J12</f>
        <v>202.28967342452628</v>
      </c>
      <c r="L41" s="639">
        <f>huishoudens!K12</f>
        <v>0</v>
      </c>
      <c r="M41" s="639">
        <f>huishoudens!L12</f>
        <v>0</v>
      </c>
      <c r="N41" s="639">
        <f>huishoudens!M12</f>
        <v>0</v>
      </c>
      <c r="O41" s="639">
        <f>huishoudens!N12</f>
        <v>0</v>
      </c>
      <c r="P41" s="639">
        <f>huishoudens!O12</f>
        <v>0</v>
      </c>
      <c r="Q41" s="714">
        <f>huishoudens!P12</f>
        <v>0</v>
      </c>
      <c r="R41" s="794">
        <f t="shared" ca="1" si="4"/>
        <v>40066.944123677611</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2545.1786381017027</v>
      </c>
      <c r="D43" s="639">
        <f ca="1">industrie!C22</f>
        <v>0</v>
      </c>
      <c r="E43" s="639">
        <f>industrie!D22</f>
        <v>2561.1087076537528</v>
      </c>
      <c r="F43" s="639">
        <f>industrie!E22</f>
        <v>31.041181273752425</v>
      </c>
      <c r="G43" s="639">
        <f>industrie!F22</f>
        <v>1114.7750959775879</v>
      </c>
      <c r="H43" s="639">
        <f>industrie!G22</f>
        <v>0</v>
      </c>
      <c r="I43" s="639">
        <f>industrie!H22</f>
        <v>0</v>
      </c>
      <c r="J43" s="639">
        <f>industrie!I22</f>
        <v>0</v>
      </c>
      <c r="K43" s="639">
        <f>industrie!J22</f>
        <v>10.294107896287981</v>
      </c>
      <c r="L43" s="639">
        <f>industrie!K22</f>
        <v>0</v>
      </c>
      <c r="M43" s="639">
        <f>industrie!L22</f>
        <v>0</v>
      </c>
      <c r="N43" s="639">
        <f>industrie!M22</f>
        <v>0</v>
      </c>
      <c r="O43" s="639">
        <f>industrie!N22</f>
        <v>0</v>
      </c>
      <c r="P43" s="639">
        <f>industrie!O22</f>
        <v>0</v>
      </c>
      <c r="Q43" s="714">
        <f>industrie!P22</f>
        <v>0</v>
      </c>
      <c r="R43" s="793">
        <f t="shared" ca="1" si="4"/>
        <v>6262.3977309030834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22973.10523717638</v>
      </c>
      <c r="D46" s="672">
        <f t="shared" ref="D46:Q46" ca="1" si="5">SUM(D39:D45)</f>
        <v>3098.2386554621853</v>
      </c>
      <c r="E46" s="672">
        <f t="shared" ca="1" si="5"/>
        <v>32966.588537924828</v>
      </c>
      <c r="F46" s="672">
        <f t="shared" si="5"/>
        <v>332.30347708853122</v>
      </c>
      <c r="G46" s="672">
        <f t="shared" ca="1" si="5"/>
        <v>11680.911212564242</v>
      </c>
      <c r="H46" s="672">
        <f t="shared" si="5"/>
        <v>0</v>
      </c>
      <c r="I46" s="672">
        <f t="shared" si="5"/>
        <v>0</v>
      </c>
      <c r="J46" s="672">
        <f t="shared" si="5"/>
        <v>0</v>
      </c>
      <c r="K46" s="672">
        <f t="shared" si="5"/>
        <v>212.58378132081427</v>
      </c>
      <c r="L46" s="672">
        <f t="shared" si="5"/>
        <v>0</v>
      </c>
      <c r="M46" s="672">
        <f t="shared" ca="1" si="5"/>
        <v>0</v>
      </c>
      <c r="N46" s="672">
        <f t="shared" si="5"/>
        <v>0</v>
      </c>
      <c r="O46" s="672">
        <f t="shared" ca="1" si="5"/>
        <v>0</v>
      </c>
      <c r="P46" s="672">
        <f t="shared" si="5"/>
        <v>0</v>
      </c>
      <c r="Q46" s="672">
        <f t="shared" si="5"/>
        <v>0</v>
      </c>
      <c r="R46" s="672">
        <f ca="1">SUM(R39:R45)</f>
        <v>71263.730901536997</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2.2706934070205969</v>
      </c>
      <c r="D49" s="639">
        <f ca="1">transport!C58</f>
        <v>0</v>
      </c>
      <c r="E49" s="639">
        <f>transport!D58</f>
        <v>0</v>
      </c>
      <c r="F49" s="639">
        <f>transport!E58</f>
        <v>0</v>
      </c>
      <c r="G49" s="639">
        <f>transport!F58</f>
        <v>0</v>
      </c>
      <c r="H49" s="639">
        <f>transport!G58</f>
        <v>562.46899418386442</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564.73968759088507</v>
      </c>
    </row>
    <row r="50" spans="1:18">
      <c r="A50" s="769" t="s">
        <v>296</v>
      </c>
      <c r="B50" s="779"/>
      <c r="C50" s="948">
        <f ca="1">transport!B18</f>
        <v>3.2609659930613226</v>
      </c>
      <c r="D50" s="948">
        <f>transport!C18</f>
        <v>0</v>
      </c>
      <c r="E50" s="948">
        <f>transport!D18</f>
        <v>3.4961179035872383</v>
      </c>
      <c r="F50" s="948">
        <f>transport!E18</f>
        <v>283.01467433764589</v>
      </c>
      <c r="G50" s="948">
        <f>transport!F18</f>
        <v>0</v>
      </c>
      <c r="H50" s="948">
        <f>transport!G18</f>
        <v>83316.011959763069</v>
      </c>
      <c r="I50" s="948">
        <f>transport!H18</f>
        <v>11348.437610317733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94954.221328315092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5.531659400081919</v>
      </c>
      <c r="D52" s="672">
        <f t="shared" ref="D52:Q52" ca="1" si="6">SUM(D48:D51)</f>
        <v>0</v>
      </c>
      <c r="E52" s="672">
        <f t="shared" si="6"/>
        <v>3.4961179035872383</v>
      </c>
      <c r="F52" s="672">
        <f t="shared" si="6"/>
        <v>283.01467433764589</v>
      </c>
      <c r="G52" s="672">
        <f t="shared" si="6"/>
        <v>0</v>
      </c>
      <c r="H52" s="672">
        <f t="shared" si="6"/>
        <v>83878.480953946928</v>
      </c>
      <c r="I52" s="672">
        <f t="shared" si="6"/>
        <v>11348.437610317733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95518.961015905981</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319.37587215809759</v>
      </c>
      <c r="D54" s="948">
        <f ca="1">+landbouw!C12</f>
        <v>12958.215126050422</v>
      </c>
      <c r="E54" s="948">
        <f>+landbouw!D12</f>
        <v>0</v>
      </c>
      <c r="F54" s="948">
        <f>+landbouw!E12</f>
        <v>3.3301481194907834</v>
      </c>
      <c r="G54" s="948">
        <f>+landbouw!F12</f>
        <v>1323.318344894059</v>
      </c>
      <c r="H54" s="948">
        <f>+landbouw!G12</f>
        <v>0</v>
      </c>
      <c r="I54" s="948">
        <f>+landbouw!H12</f>
        <v>0</v>
      </c>
      <c r="J54" s="948">
        <f>+landbouw!I12</f>
        <v>0</v>
      </c>
      <c r="K54" s="948">
        <f>+landbouw!J12</f>
        <v>52.467972950003201</v>
      </c>
      <c r="L54" s="948">
        <f>+landbouw!K12</f>
        <v>0</v>
      </c>
      <c r="M54" s="948">
        <f>+landbouw!L12</f>
        <v>0</v>
      </c>
      <c r="N54" s="948">
        <f>+landbouw!M12</f>
        <v>0</v>
      </c>
      <c r="O54" s="948">
        <f>+landbouw!N12</f>
        <v>0</v>
      </c>
      <c r="P54" s="948">
        <f>+landbouw!O12</f>
        <v>0</v>
      </c>
      <c r="Q54" s="949">
        <f>+landbouw!P12</f>
        <v>0</v>
      </c>
      <c r="R54" s="671">
        <f ca="1">SUM(C54:Q54)</f>
        <v>14656.707464172074</v>
      </c>
    </row>
    <row r="55" spans="1:18" ht="15" thickBot="1">
      <c r="A55" s="769" t="s">
        <v>847</v>
      </c>
      <c r="B55" s="779"/>
      <c r="C55" s="948">
        <f ca="1">C25*'EF ele_warmte'!B12</f>
        <v>262.31421790925623</v>
      </c>
      <c r="D55" s="948"/>
      <c r="E55" s="948">
        <f>E25*EF_CO2_aardgas</f>
        <v>833.96344756250653</v>
      </c>
      <c r="F55" s="948"/>
      <c r="G55" s="948"/>
      <c r="H55" s="948"/>
      <c r="I55" s="948"/>
      <c r="J55" s="948"/>
      <c r="K55" s="948"/>
      <c r="L55" s="948"/>
      <c r="M55" s="948"/>
      <c r="N55" s="948"/>
      <c r="O55" s="948"/>
      <c r="P55" s="948"/>
      <c r="Q55" s="949"/>
      <c r="R55" s="671">
        <f ca="1">SUM(C55:Q55)</f>
        <v>1096.2776654717627</v>
      </c>
    </row>
    <row r="56" spans="1:18" ht="15.75" thickBot="1">
      <c r="A56" s="767" t="s">
        <v>848</v>
      </c>
      <c r="B56" s="780"/>
      <c r="C56" s="672">
        <f ca="1">SUM(C54:C55)</f>
        <v>581.69009006735382</v>
      </c>
      <c r="D56" s="672">
        <f t="shared" ref="D56:Q56" ca="1" si="7">SUM(D54:D55)</f>
        <v>12958.215126050422</v>
      </c>
      <c r="E56" s="672">
        <f t="shared" si="7"/>
        <v>833.96344756250653</v>
      </c>
      <c r="F56" s="672">
        <f t="shared" si="7"/>
        <v>3.3301481194907834</v>
      </c>
      <c r="G56" s="672">
        <f t="shared" si="7"/>
        <v>1323.318344894059</v>
      </c>
      <c r="H56" s="672">
        <f t="shared" si="7"/>
        <v>0</v>
      </c>
      <c r="I56" s="672">
        <f t="shared" si="7"/>
        <v>0</v>
      </c>
      <c r="J56" s="672">
        <f t="shared" si="7"/>
        <v>0</v>
      </c>
      <c r="K56" s="672">
        <f t="shared" si="7"/>
        <v>52.467972950003201</v>
      </c>
      <c r="L56" s="672">
        <f t="shared" si="7"/>
        <v>0</v>
      </c>
      <c r="M56" s="672">
        <f t="shared" si="7"/>
        <v>0</v>
      </c>
      <c r="N56" s="672">
        <f t="shared" si="7"/>
        <v>0</v>
      </c>
      <c r="O56" s="672">
        <f t="shared" si="7"/>
        <v>0</v>
      </c>
      <c r="P56" s="672">
        <f t="shared" si="7"/>
        <v>0</v>
      </c>
      <c r="Q56" s="673">
        <f t="shared" si="7"/>
        <v>0</v>
      </c>
      <c r="R56" s="674">
        <f ca="1">SUM(R54:R55)</f>
        <v>15752.985129643836</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23560.326986643817</v>
      </c>
      <c r="D61" s="680">
        <f t="shared" ref="D61:Q61" ca="1" si="8">D46+D52+D56</f>
        <v>16056.453781512606</v>
      </c>
      <c r="E61" s="680">
        <f t="shared" ca="1" si="8"/>
        <v>33804.048103390924</v>
      </c>
      <c r="F61" s="680">
        <f t="shared" si="8"/>
        <v>618.6482995456679</v>
      </c>
      <c r="G61" s="680">
        <f t="shared" ca="1" si="8"/>
        <v>13004.2295574583</v>
      </c>
      <c r="H61" s="680">
        <f t="shared" si="8"/>
        <v>83878.480953946928</v>
      </c>
      <c r="I61" s="680">
        <f t="shared" si="8"/>
        <v>11348.437610317733</v>
      </c>
      <c r="J61" s="680">
        <f t="shared" si="8"/>
        <v>0</v>
      </c>
      <c r="K61" s="680">
        <f t="shared" si="8"/>
        <v>265.05175427081747</v>
      </c>
      <c r="L61" s="680">
        <f t="shared" si="8"/>
        <v>0</v>
      </c>
      <c r="M61" s="680">
        <f t="shared" ca="1" si="8"/>
        <v>0</v>
      </c>
      <c r="N61" s="680">
        <f t="shared" si="8"/>
        <v>0</v>
      </c>
      <c r="O61" s="680">
        <f t="shared" ca="1" si="8"/>
        <v>0</v>
      </c>
      <c r="P61" s="680">
        <f t="shared" si="8"/>
        <v>0</v>
      </c>
      <c r="Q61" s="680">
        <f t="shared" si="8"/>
        <v>0</v>
      </c>
      <c r="R61" s="680">
        <f ca="1">R46+R52+R56</f>
        <v>182535.67704708682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0.21498567302168359</v>
      </c>
      <c r="D63" s="724">
        <f t="shared" ca="1" si="9"/>
        <v>0.23764705882352943</v>
      </c>
      <c r="E63" s="950">
        <f t="shared" ca="1" si="9"/>
        <v>0.20199999999999999</v>
      </c>
      <c r="F63" s="724">
        <f t="shared" si="9"/>
        <v>0.22699999999999998</v>
      </c>
      <c r="G63" s="724">
        <f t="shared" ca="1" si="9"/>
        <v>0.26699999999999996</v>
      </c>
      <c r="H63" s="724">
        <f t="shared" si="9"/>
        <v>0.26700000000000002</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6544.9504873463902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47295</v>
      </c>
      <c r="D76" s="960">
        <f>'lokale energieproductie'!C8</f>
        <v>55641.176470588238</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11239.517647058825</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6544.9504873463902</v>
      </c>
      <c r="C78" s="695">
        <f>SUM(C72:C77)</f>
        <v>47295</v>
      </c>
      <c r="D78" s="696">
        <f t="shared" ref="D78:H78" si="10">SUM(D76:D77)</f>
        <v>55641.176470588238</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11239.517647058825</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67564.28571428571</v>
      </c>
      <c r="D87" s="717">
        <f>'lokale energieproductie'!C17</f>
        <v>79487.394957983197</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16056.453781512606</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67564.28571428571</v>
      </c>
      <c r="D90" s="695">
        <f t="shared" ref="D90:H90" si="12">SUM(D87:D89)</f>
        <v>79487.394957983197</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16056.453781512606</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39088.154406622998</v>
      </c>
      <c r="C4" s="447">
        <f>huishoudens!C8</f>
        <v>0</v>
      </c>
      <c r="D4" s="447">
        <f>huishoudens!D8</f>
        <v>112960.32472685585</v>
      </c>
      <c r="E4" s="447">
        <f>huishoudens!E8</f>
        <v>1033.0129130359589</v>
      </c>
      <c r="F4" s="447">
        <f>huishoudens!F8</f>
        <v>31493.564576350946</v>
      </c>
      <c r="G4" s="447">
        <f>huishoudens!G8</f>
        <v>0</v>
      </c>
      <c r="H4" s="447">
        <f>huishoudens!H8</f>
        <v>0</v>
      </c>
      <c r="I4" s="447">
        <f>huishoudens!I8</f>
        <v>0</v>
      </c>
      <c r="J4" s="447">
        <f>huishoudens!J8</f>
        <v>571.43975543651493</v>
      </c>
      <c r="K4" s="447">
        <f>huishoudens!K8</f>
        <v>0</v>
      </c>
      <c r="L4" s="447">
        <f>huishoudens!L8</f>
        <v>0</v>
      </c>
      <c r="M4" s="447">
        <f>huishoudens!M8</f>
        <v>0</v>
      </c>
      <c r="N4" s="447">
        <f>huishoudens!N8</f>
        <v>11389.536147632009</v>
      </c>
      <c r="O4" s="447">
        <f>huishoudens!O8</f>
        <v>107.87</v>
      </c>
      <c r="P4" s="448">
        <f>huishoudens!P8</f>
        <v>152.53333333333333</v>
      </c>
      <c r="Q4" s="449">
        <f>SUM(B4:P4)</f>
        <v>196796.43585926757</v>
      </c>
    </row>
    <row r="5" spans="1:17">
      <c r="A5" s="446" t="s">
        <v>149</v>
      </c>
      <c r="B5" s="447">
        <f ca="1">tertiair!B16</f>
        <v>54583.872536405732</v>
      </c>
      <c r="C5" s="447">
        <f ca="1">tertiair!C16</f>
        <v>13037.142857142857</v>
      </c>
      <c r="D5" s="447">
        <f ca="1">tertiair!D16</f>
        <v>37561.852650723733</v>
      </c>
      <c r="E5" s="447">
        <f>tertiair!E16</f>
        <v>294.1337645621856</v>
      </c>
      <c r="F5" s="447">
        <f ca="1">tertiair!F16</f>
        <v>8079.9789314642394</v>
      </c>
      <c r="G5" s="447">
        <f>tertiair!G16</f>
        <v>0</v>
      </c>
      <c r="H5" s="447">
        <f>tertiair!H16</f>
        <v>0</v>
      </c>
      <c r="I5" s="447">
        <f>tertiair!I16</f>
        <v>0</v>
      </c>
      <c r="J5" s="447">
        <f>tertiair!J16</f>
        <v>0</v>
      </c>
      <c r="K5" s="447">
        <f>tertiair!K16</f>
        <v>0</v>
      </c>
      <c r="L5" s="447">
        <f ca="1">tertiair!L16</f>
        <v>0</v>
      </c>
      <c r="M5" s="447">
        <f>tertiair!M16</f>
        <v>0</v>
      </c>
      <c r="N5" s="447">
        <f ca="1">tertiair!N16</f>
        <v>1628.0333906421436</v>
      </c>
      <c r="O5" s="447">
        <f>tertiair!O16</f>
        <v>0</v>
      </c>
      <c r="P5" s="448">
        <f>tertiair!P16</f>
        <v>38.133333333333333</v>
      </c>
      <c r="Q5" s="446">
        <f t="shared" ref="Q5:Q14" ca="1" si="0">SUM(B5:P5)</f>
        <v>115223.14746427423</v>
      </c>
    </row>
    <row r="6" spans="1:17">
      <c r="A6" s="446" t="s">
        <v>187</v>
      </c>
      <c r="B6" s="447">
        <f>'openbare verlichting'!B8</f>
        <v>1347.9169999999999</v>
      </c>
      <c r="C6" s="447"/>
      <c r="D6" s="447"/>
      <c r="E6" s="447"/>
      <c r="F6" s="447"/>
      <c r="G6" s="447"/>
      <c r="H6" s="447"/>
      <c r="I6" s="447"/>
      <c r="J6" s="447"/>
      <c r="K6" s="447"/>
      <c r="L6" s="447"/>
      <c r="M6" s="447"/>
      <c r="N6" s="447"/>
      <c r="O6" s="447"/>
      <c r="P6" s="448"/>
      <c r="Q6" s="446">
        <f t="shared" si="0"/>
        <v>1347.9169999999999</v>
      </c>
    </row>
    <row r="7" spans="1:17">
      <c r="A7" s="446" t="s">
        <v>105</v>
      </c>
      <c r="B7" s="447">
        <f>landbouw!B8</f>
        <v>1485.5681667953991</v>
      </c>
      <c r="C7" s="447">
        <f>landbouw!C8</f>
        <v>54527.142857142855</v>
      </c>
      <c r="D7" s="447">
        <f>landbouw!D8</f>
        <v>0</v>
      </c>
      <c r="E7" s="447">
        <f>landbouw!E8</f>
        <v>14.670256032999045</v>
      </c>
      <c r="F7" s="447">
        <f>landbouw!F8</f>
        <v>4956.2484827492844</v>
      </c>
      <c r="G7" s="447">
        <f>landbouw!G8</f>
        <v>0</v>
      </c>
      <c r="H7" s="447">
        <f>landbouw!H8</f>
        <v>0</v>
      </c>
      <c r="I7" s="447">
        <f>landbouw!I8</f>
        <v>0</v>
      </c>
      <c r="J7" s="447">
        <f>landbouw!J8</f>
        <v>148.21461285311639</v>
      </c>
      <c r="K7" s="447">
        <f>landbouw!K8</f>
        <v>0</v>
      </c>
      <c r="L7" s="447">
        <f>landbouw!L8</f>
        <v>0</v>
      </c>
      <c r="M7" s="447">
        <f>landbouw!M8</f>
        <v>0</v>
      </c>
      <c r="N7" s="447">
        <f>landbouw!N8</f>
        <v>0</v>
      </c>
      <c r="O7" s="447">
        <f>landbouw!O8</f>
        <v>0</v>
      </c>
      <c r="P7" s="448">
        <f>landbouw!P8</f>
        <v>0</v>
      </c>
      <c r="Q7" s="446">
        <f t="shared" si="0"/>
        <v>61131.844375573652</v>
      </c>
    </row>
    <row r="8" spans="1:17">
      <c r="A8" s="446" t="s">
        <v>640</v>
      </c>
      <c r="B8" s="447">
        <f>industrie!B18</f>
        <v>11838.829082554697</v>
      </c>
      <c r="C8" s="447">
        <f>industrie!C18</f>
        <v>0</v>
      </c>
      <c r="D8" s="447">
        <f>industrie!D18</f>
        <v>12678.755978483923</v>
      </c>
      <c r="E8" s="447">
        <f>industrie!E18</f>
        <v>136.7452919548565</v>
      </c>
      <c r="F8" s="447">
        <f>industrie!F18</f>
        <v>4175.1876253842238</v>
      </c>
      <c r="G8" s="447">
        <f>industrie!G18</f>
        <v>0</v>
      </c>
      <c r="H8" s="447">
        <f>industrie!H18</f>
        <v>0</v>
      </c>
      <c r="I8" s="447">
        <f>industrie!I18</f>
        <v>0</v>
      </c>
      <c r="J8" s="447">
        <f>industrie!J18</f>
        <v>29.079400836971701</v>
      </c>
      <c r="K8" s="447">
        <f>industrie!K18</f>
        <v>0</v>
      </c>
      <c r="L8" s="447">
        <f>industrie!L18</f>
        <v>0</v>
      </c>
      <c r="M8" s="447">
        <f>industrie!M18</f>
        <v>0</v>
      </c>
      <c r="N8" s="447">
        <f>industrie!N18</f>
        <v>1032.7413476351453</v>
      </c>
      <c r="O8" s="447">
        <f>industrie!O18</f>
        <v>0</v>
      </c>
      <c r="P8" s="448">
        <f>industrie!P18</f>
        <v>0</v>
      </c>
      <c r="Q8" s="446">
        <f t="shared" si="0"/>
        <v>29891.338726849815</v>
      </c>
    </row>
    <row r="9" spans="1:17" s="452" customFormat="1">
      <c r="A9" s="450" t="s">
        <v>560</v>
      </c>
      <c r="B9" s="451">
        <f>transport!B14</f>
        <v>15.168294459940217</v>
      </c>
      <c r="C9" s="451">
        <f>transport!C14</f>
        <v>0</v>
      </c>
      <c r="D9" s="451">
        <f>transport!D14</f>
        <v>17.307514374194248</v>
      </c>
      <c r="E9" s="451">
        <f>transport!E14</f>
        <v>1246.7606799015236</v>
      </c>
      <c r="F9" s="451">
        <f>transport!F14</f>
        <v>0</v>
      </c>
      <c r="G9" s="451">
        <f>transport!G14</f>
        <v>312044.98861334479</v>
      </c>
      <c r="H9" s="451">
        <f>transport!H14</f>
        <v>45576.054659910573</v>
      </c>
      <c r="I9" s="451">
        <f>transport!I14</f>
        <v>0</v>
      </c>
      <c r="J9" s="451">
        <f>transport!J14</f>
        <v>0</v>
      </c>
      <c r="K9" s="451">
        <f>transport!K14</f>
        <v>0</v>
      </c>
      <c r="L9" s="451">
        <f>transport!L14</f>
        <v>0</v>
      </c>
      <c r="M9" s="451">
        <f>transport!M14</f>
        <v>15972.271688388721</v>
      </c>
      <c r="N9" s="451">
        <f>transport!N14</f>
        <v>0</v>
      </c>
      <c r="O9" s="451">
        <f>transport!O14</f>
        <v>0</v>
      </c>
      <c r="P9" s="451">
        <f>transport!P14</f>
        <v>0</v>
      </c>
      <c r="Q9" s="450">
        <f>SUM(B9:P9)</f>
        <v>374872.55145037972</v>
      </c>
    </row>
    <row r="10" spans="1:17">
      <c r="A10" s="446" t="s">
        <v>550</v>
      </c>
      <c r="B10" s="447">
        <f>transport!B54</f>
        <v>10.562068509521437</v>
      </c>
      <c r="C10" s="447">
        <f>transport!C54</f>
        <v>0</v>
      </c>
      <c r="D10" s="447">
        <f>transport!D54</f>
        <v>0</v>
      </c>
      <c r="E10" s="447">
        <f>transport!E54</f>
        <v>0</v>
      </c>
      <c r="F10" s="447">
        <f>transport!F54</f>
        <v>0</v>
      </c>
      <c r="G10" s="447">
        <f>transport!G54</f>
        <v>2106.6254463815144</v>
      </c>
      <c r="H10" s="447">
        <f>transport!H54</f>
        <v>0</v>
      </c>
      <c r="I10" s="447">
        <f>transport!I54</f>
        <v>0</v>
      </c>
      <c r="J10" s="447">
        <f>transport!J54</f>
        <v>0</v>
      </c>
      <c r="K10" s="447">
        <f>transport!K54</f>
        <v>0</v>
      </c>
      <c r="L10" s="447">
        <f>transport!L54</f>
        <v>0</v>
      </c>
      <c r="M10" s="447">
        <f>transport!M54</f>
        <v>93.110601083534561</v>
      </c>
      <c r="N10" s="447">
        <f>transport!N54</f>
        <v>0</v>
      </c>
      <c r="O10" s="447">
        <f>transport!O54</f>
        <v>0</v>
      </c>
      <c r="P10" s="448">
        <f>transport!P54</f>
        <v>0</v>
      </c>
      <c r="Q10" s="446">
        <f t="shared" si="0"/>
        <v>2210.2981159745705</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1220.1474369075702</v>
      </c>
      <c r="C14" s="454"/>
      <c r="D14" s="454">
        <f>'SEAP template'!E25</f>
        <v>4128.5319186262695</v>
      </c>
      <c r="E14" s="454"/>
      <c r="F14" s="454"/>
      <c r="G14" s="454"/>
      <c r="H14" s="454"/>
      <c r="I14" s="454"/>
      <c r="J14" s="454"/>
      <c r="K14" s="454"/>
      <c r="L14" s="454"/>
      <c r="M14" s="454"/>
      <c r="N14" s="454"/>
      <c r="O14" s="454"/>
      <c r="P14" s="455"/>
      <c r="Q14" s="446">
        <f t="shared" si="0"/>
        <v>5348.67935553384</v>
      </c>
    </row>
    <row r="15" spans="1:17" s="459" customFormat="1">
      <c r="A15" s="456" t="s">
        <v>554</v>
      </c>
      <c r="B15" s="457">
        <f ca="1">SUM(B4:B14)</f>
        <v>109590.21899225588</v>
      </c>
      <c r="C15" s="457">
        <f t="shared" ref="C15:Q15" ca="1" si="1">SUM(C4:C14)</f>
        <v>67564.28571428571</v>
      </c>
      <c r="D15" s="457">
        <f t="shared" ca="1" si="1"/>
        <v>167346.77278906398</v>
      </c>
      <c r="E15" s="457">
        <f t="shared" si="1"/>
        <v>2725.3229054875237</v>
      </c>
      <c r="F15" s="457">
        <f t="shared" ca="1" si="1"/>
        <v>48704.979615948687</v>
      </c>
      <c r="G15" s="457">
        <f t="shared" si="1"/>
        <v>314151.6140597263</v>
      </c>
      <c r="H15" s="457">
        <f t="shared" si="1"/>
        <v>45576.054659910573</v>
      </c>
      <c r="I15" s="457">
        <f t="shared" si="1"/>
        <v>0</v>
      </c>
      <c r="J15" s="457">
        <f t="shared" si="1"/>
        <v>748.73376912660297</v>
      </c>
      <c r="K15" s="457">
        <f t="shared" si="1"/>
        <v>0</v>
      </c>
      <c r="L15" s="457">
        <f t="shared" ca="1" si="1"/>
        <v>0</v>
      </c>
      <c r="M15" s="457">
        <f t="shared" si="1"/>
        <v>16065.382289472254</v>
      </c>
      <c r="N15" s="457">
        <f t="shared" ca="1" si="1"/>
        <v>14050.310885909297</v>
      </c>
      <c r="O15" s="457">
        <f t="shared" si="1"/>
        <v>107.87</v>
      </c>
      <c r="P15" s="457">
        <f t="shared" si="1"/>
        <v>190.66666666666666</v>
      </c>
      <c r="Q15" s="457">
        <f t="shared" ca="1" si="1"/>
        <v>786822.21234785335</v>
      </c>
    </row>
    <row r="17" spans="1:17">
      <c r="A17" s="460" t="s">
        <v>555</v>
      </c>
      <c r="B17" s="729">
        <f ca="1">huishoudens!B10</f>
        <v>0.21498567302168362</v>
      </c>
      <c r="C17" s="729">
        <f ca="1">huishoudens!C10</f>
        <v>0.23764705882352943</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8403.3931822833329</v>
      </c>
      <c r="C22" s="447">
        <f t="shared" ref="C22:C32" ca="1" si="3">C4*$C$17</f>
        <v>0</v>
      </c>
      <c r="D22" s="447">
        <f t="shared" ref="D22:D32" si="4">D4*$D$17</f>
        <v>22817.985594824884</v>
      </c>
      <c r="E22" s="447">
        <f t="shared" ref="E22:E32" si="5">E4*$E$17</f>
        <v>234.49393125916268</v>
      </c>
      <c r="F22" s="447">
        <f t="shared" ref="F22:F32" si="6">F4*$F$17</f>
        <v>8408.781741885703</v>
      </c>
      <c r="G22" s="447">
        <f t="shared" ref="G22:G32" si="7">G4*$G$17</f>
        <v>0</v>
      </c>
      <c r="H22" s="447">
        <f t="shared" ref="H22:H32" si="8">H4*$H$17</f>
        <v>0</v>
      </c>
      <c r="I22" s="447">
        <f t="shared" ref="I22:I32" si="9">I4*$I$17</f>
        <v>0</v>
      </c>
      <c r="J22" s="447">
        <f t="shared" ref="J22:J32" si="10">J4*$J$17</f>
        <v>202.28967342452628</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40066.944123677611</v>
      </c>
    </row>
    <row r="23" spans="1:17">
      <c r="A23" s="446" t="s">
        <v>149</v>
      </c>
      <c r="B23" s="447">
        <f t="shared" ca="1" si="2"/>
        <v>11734.75057336898</v>
      </c>
      <c r="C23" s="447">
        <f t="shared" ca="1" si="3"/>
        <v>3098.2386554621853</v>
      </c>
      <c r="D23" s="447">
        <f t="shared" ca="1" si="4"/>
        <v>7587.4942354461946</v>
      </c>
      <c r="E23" s="447">
        <f t="shared" si="5"/>
        <v>66.768364555616131</v>
      </c>
      <c r="F23" s="447">
        <f t="shared" ca="1" si="6"/>
        <v>2157.3543747009521</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24644.606203533927</v>
      </c>
    </row>
    <row r="24" spans="1:17">
      <c r="A24" s="446" t="s">
        <v>187</v>
      </c>
      <c r="B24" s="447">
        <f t="shared" ca="1" si="2"/>
        <v>289.78284342236867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289.78284342236867</v>
      </c>
    </row>
    <row r="25" spans="1:17">
      <c r="A25" s="446" t="s">
        <v>105</v>
      </c>
      <c r="B25" s="447">
        <f t="shared" ca="1" si="2"/>
        <v>319.37587215809759</v>
      </c>
      <c r="C25" s="447">
        <f t="shared" ca="1" si="3"/>
        <v>12958.215126050422</v>
      </c>
      <c r="D25" s="447">
        <f t="shared" si="4"/>
        <v>0</v>
      </c>
      <c r="E25" s="447">
        <f t="shared" si="5"/>
        <v>3.3301481194907834</v>
      </c>
      <c r="F25" s="447">
        <f t="shared" si="6"/>
        <v>1323.318344894059</v>
      </c>
      <c r="G25" s="447">
        <f t="shared" si="7"/>
        <v>0</v>
      </c>
      <c r="H25" s="447">
        <f t="shared" si="8"/>
        <v>0</v>
      </c>
      <c r="I25" s="447">
        <f t="shared" si="9"/>
        <v>0</v>
      </c>
      <c r="J25" s="447">
        <f t="shared" si="10"/>
        <v>52.467972950003201</v>
      </c>
      <c r="K25" s="447">
        <f t="shared" si="11"/>
        <v>0</v>
      </c>
      <c r="L25" s="447">
        <f t="shared" si="12"/>
        <v>0</v>
      </c>
      <c r="M25" s="447">
        <f t="shared" si="13"/>
        <v>0</v>
      </c>
      <c r="N25" s="447">
        <f t="shared" si="14"/>
        <v>0</v>
      </c>
      <c r="O25" s="447">
        <f t="shared" si="15"/>
        <v>0</v>
      </c>
      <c r="P25" s="448">
        <f t="shared" si="16"/>
        <v>0</v>
      </c>
      <c r="Q25" s="446">
        <f t="shared" ca="1" si="17"/>
        <v>14656.707464172074</v>
      </c>
    </row>
    <row r="26" spans="1:17">
      <c r="A26" s="446" t="s">
        <v>640</v>
      </c>
      <c r="B26" s="447">
        <f t="shared" ca="1" si="2"/>
        <v>2545.1786381017027</v>
      </c>
      <c r="C26" s="447">
        <f t="shared" ca="1" si="3"/>
        <v>0</v>
      </c>
      <c r="D26" s="447">
        <f t="shared" si="4"/>
        <v>2561.1087076537528</v>
      </c>
      <c r="E26" s="447">
        <f t="shared" si="5"/>
        <v>31.041181273752425</v>
      </c>
      <c r="F26" s="447">
        <f t="shared" si="6"/>
        <v>1114.7750959775879</v>
      </c>
      <c r="G26" s="447">
        <f t="shared" si="7"/>
        <v>0</v>
      </c>
      <c r="H26" s="447">
        <f t="shared" si="8"/>
        <v>0</v>
      </c>
      <c r="I26" s="447">
        <f t="shared" si="9"/>
        <v>0</v>
      </c>
      <c r="J26" s="447">
        <f t="shared" si="10"/>
        <v>10.294107896287981</v>
      </c>
      <c r="K26" s="447">
        <f t="shared" si="11"/>
        <v>0</v>
      </c>
      <c r="L26" s="447">
        <f t="shared" si="12"/>
        <v>0</v>
      </c>
      <c r="M26" s="447">
        <f t="shared" si="13"/>
        <v>0</v>
      </c>
      <c r="N26" s="447">
        <f t="shared" si="14"/>
        <v>0</v>
      </c>
      <c r="O26" s="447">
        <f t="shared" si="15"/>
        <v>0</v>
      </c>
      <c r="P26" s="448">
        <f t="shared" si="16"/>
        <v>0</v>
      </c>
      <c r="Q26" s="446">
        <f t="shared" ca="1" si="17"/>
        <v>6262.3977309030834</v>
      </c>
    </row>
    <row r="27" spans="1:17" s="452" customFormat="1">
      <c r="A27" s="450" t="s">
        <v>560</v>
      </c>
      <c r="B27" s="723">
        <f t="shared" ca="1" si="2"/>
        <v>3.2609659930613226</v>
      </c>
      <c r="C27" s="451">
        <f t="shared" ca="1" si="3"/>
        <v>0</v>
      </c>
      <c r="D27" s="451">
        <f t="shared" si="4"/>
        <v>3.4961179035872383</v>
      </c>
      <c r="E27" s="451">
        <f t="shared" si="5"/>
        <v>283.01467433764589</v>
      </c>
      <c r="F27" s="451">
        <f t="shared" si="6"/>
        <v>0</v>
      </c>
      <c r="G27" s="451">
        <f t="shared" si="7"/>
        <v>83316.011959763069</v>
      </c>
      <c r="H27" s="451">
        <f t="shared" si="8"/>
        <v>11348.437610317733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94954.221328315092</v>
      </c>
    </row>
    <row r="28" spans="1:17">
      <c r="A28" s="446" t="s">
        <v>550</v>
      </c>
      <c r="B28" s="447">
        <f t="shared" ca="1" si="2"/>
        <v>2.2706934070205969</v>
      </c>
      <c r="C28" s="447">
        <f t="shared" ca="1" si="3"/>
        <v>0</v>
      </c>
      <c r="D28" s="447">
        <f t="shared" si="4"/>
        <v>0</v>
      </c>
      <c r="E28" s="447">
        <f t="shared" si="5"/>
        <v>0</v>
      </c>
      <c r="F28" s="447">
        <f t="shared" si="6"/>
        <v>0</v>
      </c>
      <c r="G28" s="447">
        <f t="shared" si="7"/>
        <v>562.46899418386442</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564.73968759088507</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262.31421790925623</v>
      </c>
      <c r="C32" s="447">
        <f t="shared" ca="1" si="3"/>
        <v>0</v>
      </c>
      <c r="D32" s="447">
        <f t="shared" si="4"/>
        <v>833.96344756250653</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1096.2776654717627</v>
      </c>
    </row>
    <row r="33" spans="1:17" s="459" customFormat="1">
      <c r="A33" s="456" t="s">
        <v>554</v>
      </c>
      <c r="B33" s="457">
        <f ca="1">SUM(B22:B32)</f>
        <v>23560.32698664382</v>
      </c>
      <c r="C33" s="457">
        <f t="shared" ref="C33:Q33" ca="1" si="18">SUM(C22:C32)</f>
        <v>16056.453781512606</v>
      </c>
      <c r="D33" s="457">
        <f t="shared" ca="1" si="18"/>
        <v>33804.048103390924</v>
      </c>
      <c r="E33" s="457">
        <f t="shared" si="18"/>
        <v>618.6482995456679</v>
      </c>
      <c r="F33" s="457">
        <f t="shared" ca="1" si="18"/>
        <v>13004.2295574583</v>
      </c>
      <c r="G33" s="457">
        <f t="shared" si="18"/>
        <v>83878.480953946928</v>
      </c>
      <c r="H33" s="457">
        <f t="shared" si="18"/>
        <v>11348.437610317733</v>
      </c>
      <c r="I33" s="457">
        <f t="shared" si="18"/>
        <v>0</v>
      </c>
      <c r="J33" s="457">
        <f t="shared" si="18"/>
        <v>265.05175427081747</v>
      </c>
      <c r="K33" s="457">
        <f t="shared" si="18"/>
        <v>0</v>
      </c>
      <c r="L33" s="457">
        <f t="shared" ca="1" si="18"/>
        <v>0</v>
      </c>
      <c r="M33" s="457">
        <f t="shared" si="18"/>
        <v>0</v>
      </c>
      <c r="N33" s="457">
        <f t="shared" ca="1" si="18"/>
        <v>0</v>
      </c>
      <c r="O33" s="457">
        <f t="shared" si="18"/>
        <v>0</v>
      </c>
      <c r="P33" s="457">
        <f t="shared" si="18"/>
        <v>0</v>
      </c>
      <c r="Q33" s="457">
        <f t="shared" ca="1" si="18"/>
        <v>182535.67704708682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6544.9504873463902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47295</v>
      </c>
      <c r="D8" s="977">
        <f>'SEAP template'!D76</f>
        <v>55641.176470588238</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11239.517647058825</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6544.9504873463902</v>
      </c>
      <c r="C10" s="981">
        <f>SUM(C4:C9)</f>
        <v>47295</v>
      </c>
      <c r="D10" s="981">
        <f t="shared" ref="D10:H10" si="0">SUM(D8:D9)</f>
        <v>55641.176470588238</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11239.517647058825</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0.21498567302168362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67564.28571428571</v>
      </c>
      <c r="D17" s="978">
        <f>'SEAP template'!D87</f>
        <v>79487.394957983197</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16056.453781512606</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67564.28571428571</v>
      </c>
      <c r="D20" s="981">
        <f t="shared" ref="D20:H20" si="2">SUM(D17:D19)</f>
        <v>79487.394957983197</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16056.453781512606</v>
      </c>
    </row>
    <row r="22" spans="1:16">
      <c r="A22" s="460" t="s">
        <v>867</v>
      </c>
      <c r="B22" s="729" t="s">
        <v>861</v>
      </c>
      <c r="C22" s="729">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0.21498567302168362</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2022-07-26T12:17:05Z</dcterms:modified>
</cp:coreProperties>
</file>