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14D4CD6-AE11-4CC9-A908-1530A243C0D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<sst xmlns="http://schemas.openxmlformats.org/spreadsheetml/2006/main" count="2513" uniqueCount="962">
  <si>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</si>
  <si>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</si>
  <si>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</si>
  <si>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</si>
  <si>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</si>
  <si>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</si>
  <si>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</si>
  <si>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</si>
  <si>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</si>
  <si>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</si>
  <si>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</si>
  <si>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</si>
  <si>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</si>
  <si>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</si>
  <si>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</si>
  <si>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</si>
  <si>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</si>
  <si>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</si>
  <si>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</si>
  <si>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</si>
  <si>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</si>
  <si>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</si>
  <si>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</si>
  <si>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</si>
  <si>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</si>
  <si>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</si>
  <si>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</si>
  <si>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</si>
  <si>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</si>
  <si>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</si>
  <si>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</si>
  <si>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</si>
  <si>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</si>
  <si>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</si>
  <si>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</si>
  <si>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</si>
  <si>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</si>
  <si>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</si>
  <si>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</si>
  <si>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</si>
  <si>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</si>
  <si>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</si>
  <si>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</si>
  <si>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</si>
  <si>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</si>
  <si>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</si>
  <si>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</si>
  <si>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</si>
  <si>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</si>
  <si>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</si>
  <si>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</si>
  <si>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</si>
  <si>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</si>
  <si>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</si>
  <si>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</si>
  <si>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</si>
  <si>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</si>
  <si>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</si>
  <si>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</si>
  <si>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</si>
  <si>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</si>
  <si>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</si>
  <si>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</si>
  <si>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</si>
  <si>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</si>
  <si>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</si>
  <si>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</si>
  <si>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</si>
  <si>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</si>
  <si>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</si>
  <si>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</si>
  <si>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</si>
  <si>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</si>
  <si>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</si>
  <si>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</si>
  <si>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</si>
  <si>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</si>
  <si>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</si>
  <si>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</si>
  <si>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</si>
  <si>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</si>
  <si>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</si>
  <si>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</si>
  <si>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</si>
  <si>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</si>
  <si>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</si>
  <si>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</si>
  <si>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</si>
  <si>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</si>
  <si>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</si>
  <si>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</si>
  <si>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</si>
  <si>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</si>
  <si>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</si>
  <si>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</si>
  <si>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</si>
  <si>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</si>
  <si>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</si>
  <si>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</si>
  <si>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</si>
  <si>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</si>
  <si>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</si>
  <si>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</si>
  <si>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</si>
  <si>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</si>
  <si>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</si>
  <si>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</si>
  <si>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</si>
  <si>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</si>
  <si>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</si>
  <si>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</si>
  <si>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</si>
  <si>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</si>
  <si>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</si>
  <si>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</si>
  <si>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</si>
  <si>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</si>
  <si>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</si>
  <si>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</si>
  <si>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</si>
  <si>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</si>
  <si>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</si>
  <si>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</si>
  <si>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</si>
  <si>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</si>
  <si>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</si>
  <si>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</si>
  <si>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</si>
  <si>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</si>
  <si>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</si>
  <si>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</si>
  <si>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</si>
  <si>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</si>
  <si>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</si>
  <si>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</si>
  <si>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</si>
  <si>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</si>
  <si>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</si>
  <si>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</si>
  <si>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</si>
  <si>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</si>
  <si>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</si>
  <si>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</si>
  <si>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</si>
  <si>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</si>
  <si>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</si>
  <si>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</si>
  <si>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</si>
  <si>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</si>
  <si>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</si>
  <si>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</si>
  <si>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</si>
  <si>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</si>
  <si>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</si>
  <si>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</si>
  <si>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</si>
  <si>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</si>
  <si>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</si>
  <si>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</si>
  <si>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</si>
  <si>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</si>
  <si>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</si>
  <si>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</si>
  <si>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</si>
  <si>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</si>
  <si>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</si>
  <si>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</si>
  <si>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</si>
  <si>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</si>
  <si>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</si>
  <si>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</si>
  <si>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</si>
  <si>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</si>
  <si>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</si>
  <si>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</si>
  <si>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</si>
  <si>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</si>
  <si>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</si>
  <si>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</si>
  <si>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</si>
  <si>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</si>
  <si>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</si>
  <si>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</si>
  <si>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</si>
  <si>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</si>
  <si>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</si>
  <si>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</si>
  <si>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</si>
  <si>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</si>
  <si>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</si>
  <si>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</si>
  <si>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</si>
  <si>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</si>
  <si>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</si>
  <si>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</si>
  <si>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</si>
  <si>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</si>
  <si>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</si>
  <si>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</si>
  <si>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</si>
  <si>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</si>
  <si>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</si>
  <si>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</si>
  <si>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</si>
  <si>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</si>
  <si>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</si>
  <si>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</si>
  <si>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</si>
  <si>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</si>
  <si>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</si>
  <si>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</si>
  <si>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</si>
  <si>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</si>
  <si>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</si>
  <si>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</si>
  <si>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</si>
  <si>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</si>
  <si>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</si>
  <si>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</si>
  <si>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</si>
  <si>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</si>
  <si>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</si>
  <si>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</si>
  <si>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</si>
  <si>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</si>
  <si>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</si>
  <si>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</si>
  <si>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</si>
  <si>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</si>
  <si>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</si>
  <si>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</si>
  <si>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</si>
  <si>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</si>
  <si>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</si>
  <si>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</si>
  <si>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</si>
  <si>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</si>
  <si>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</si>
  <si>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</si>
  <si>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</si>
  <si>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</si>
  <si>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</si>
  <si>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</si>
  <si>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</si>
  <si>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</si>
  <si>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</si>
  <si>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</si>
  <si>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</si>
  <si>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</si>
  <si>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</si>
  <si>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</si>
  <si>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</si>
  <si>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</si>
  <si>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</si>
  <si>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</si>
  <si>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</si>
  <si>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</si>
  <si>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</si>
  <si>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</si>
  <si>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</si>
  <si>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</si>
  <si>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</si>
  <si>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</si>
  <si>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</si>
  <si>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</si>
  <si>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</si>
  <si>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</si>
  <si>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</si>
  <si>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</si>
  <si>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</si>
  <si>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</si>
  <si>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</si>
  <si>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</si>
  <si>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</si>
  <si>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</si>
  <si>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</si>
  <si>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</si>
  <si>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</si>
  <si>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</si>
  <si>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</si>
  <si>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</si>
  <si>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</si>
  <si>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</si>
  <si>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</si>
  <si>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</si>
  <si>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</si>
  <si>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</si>
  <si>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</si>
  <si>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</si>
  <si>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</si>
  <si>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</si>
  <si>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</si>
  <si>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</si>
  <si>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</si>
  <si>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</si>
  <si>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</si>
  <si>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</si>
  <si>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</si>
  <si>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</si>
  <si>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</si>
  <si>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</si>
  <si>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</si>
  <si>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</si>
  <si>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</si>
  <si>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</si>
  <si>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</si>
  <si>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</si>
  <si>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</si>
  <si>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</si>
  <si>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</si>
  <si>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</si>
  <si>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</si>
  <si>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</si>
  <si>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</si>
  <si>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</si>
  <si>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</si>
  <si>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</si>
  <si>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</si>
  <si>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</si>
  <si>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</si>
  <si>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</si>
  <si>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</si>
  <si>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</si>
  <si>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</si>
  <si>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</si>
  <si>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</si>
  <si>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</si>
  <si>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</si>
  <si>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</si>
  <si>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</si>
  <si>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</si>
  <si>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</si>
  <si>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</si>
  <si>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</si>
  <si>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</si>
  <si>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</si>
  <si>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</si>
  <si>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</si>
  <si>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</si>
  <si>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</si>
  <si>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</si>
  <si>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</si>
  <si>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</si>
  <si>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</si>
  <si>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</si>
  <si>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</si>
  <si>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</si>
  <si>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</si>
  <si>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</si>
  <si>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</si>
  <si>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</si>
  <si>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</si>
  <si>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</si>
  <si>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</si>
  <si>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</si>
  <si>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</si>
  <si>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</si>
  <si>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</si>
  <si>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</si>
  <si>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</si>
  <si>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</si>
  <si>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</si>
  <si>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</si>
  <si>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</si>
  <si>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</si>
  <si>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</si>
  <si>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</si>
  <si>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</si>
  <si>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</si>
  <si>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</si>
  <si>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</si>
  <si>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</si>
  <si>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</si>
  <si>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</si>
  <si>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</si>
  <si>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</si>
  <si>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</si>
  <si>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</si>
  <si>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</si>
  <si>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</si>
  <si>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</si>
  <si>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</si>
  <si>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</si>
  <si>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</si>
  <si>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</si>
  <si>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</si>
  <si>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</si>
  <si>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</si>
  <si>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</si>
  <si>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</si>
  <si>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</si>
  <si>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</si>
  <si>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</si>
  <si>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</si>
  <si>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</si>
  <si>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</si>
  <si>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</si>
  <si>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</si>
  <si>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</si>
  <si>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</si>
  <si>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</si>
  <si>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</si>
  <si>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</si>
  <si>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</si>
  <si>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</si>
  <si>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</si>
  <si>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</si>
  <si>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</si>
  <si>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</si>
  <si>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</si>
  <si>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</si>
  <si>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</si>
  <si>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</si>
  <si>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</si>
  <si>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</si>
  <si>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</si>
  <si>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</si>
  <si>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</si>
  <si>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</si>
  <si>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</si>
  <si>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</si>
  <si>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</si>
  <si>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</si>
  <si>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</si>
  <si>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</si>
  <si>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</si>
  <si>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</si>
  <si>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</si>
  <si>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</si>
  <si>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</si>
  <si>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</si>
  <si>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</si>
  <si>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</si>
  <si>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</si>
  <si>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</si>
  <si>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</si>
  <si>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</si>
  <si>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</si>
  <si>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</si>
  <si>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</si>
  <si>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</si>
  <si>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</si>
  <si>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</si>
  <si>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</si>
  <si>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</si>
  <si>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</si>
  <si>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</si>
  <si>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</si>
  <si>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</si>
  <si>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</si>
  <si>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</si>
  <si>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</si>
  <si>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</si>
  <si>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</si>
  <si>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</si>
  <si>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</si>
  <si>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</si>
  <si>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</si>
  <si>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</si>
  <si>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</si>
  <si>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</si>
  <si>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</si>
  <si>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</si>
  <si>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</si>
  <si>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</si>
  <si>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</si>
  <si>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</si>
  <si>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</si>
  <si>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</si>
  <si>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</si>
  <si>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</si>
  <si>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</si>
  <si>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</si>
  <si>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</si>
  <si>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</si>
  <si>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</si>
  <si>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</si>
  <si>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</si>
  <si>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</si>
  <si>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</si>
  <si>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</si>
  <si>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</si>
  <si>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</si>
  <si>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</si>
  <si>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</si>
  <si>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</si>
  <si>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</si>
  <si>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</si>
  <si>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</si>
  <si>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</si>
  <si>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</si>
  <si>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</si>
  <si>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</si>
  <si>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</si>
  <si>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</si>
  <si>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</si>
  <si>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</si>
  <si>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</si>
  <si>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</si>
  <si>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</si>
  <si>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</si>
  <si>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</si>
  <si>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</si>
  <si>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</si>
  <si>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</si>
  <si>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</si>
  <si>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</si>
  <si>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</si>
  <si>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</si>
  <si>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</si>
  <si>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</si>
  <si>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</si>
  <si>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</si>
  <si>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</si>
  <si>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</si>
  <si>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</si>
  <si>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</si>
  <si>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</si>
  <si>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</si>
  <si>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</si>
  <si>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</si>
  <si>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</si>
  <si>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</si>
  <si>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</si>
  <si>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</si>
  <si>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</si>
  <si>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</si>
  <si>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</si>
  <si>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</si>
  <si>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</si>
  <si>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</si>
  <si>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</si>
  <si>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</si>
  <si>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</si>
  <si>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</si>
  <si>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</si>
  <si>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</si>
  <si>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</si>
  <si>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</si>
  <si>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</si>
  <si>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</si>
  <si>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</si>
  <si>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</si>
  <si>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</si>
  <si>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</si>
  <si>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</si>
  <si>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</si>
  <si>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</si>
  <si>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</si>
  <si>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</si>
  <si>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</si>
  <si>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</si>
  <si>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</si>
  <si>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</si>
  <si>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</si>
  <si>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</si>
  <si>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</si>
  <si>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</si>
  <si>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</si>
  <si>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</si>
  <si>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</si>
  <si>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</si>
  <si>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</si>
  <si>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</si>
  <si>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</si>
  <si>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</si>
  <si>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</si>
  <si>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</si>
  <si>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</si>
  <si>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</si>
  <si>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</si>
  <si>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</si>
  <si>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</si>
  <si>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</si>
  <si>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</si>
  <si>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</si>
  <si>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</si>
  <si>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</si>
  <si>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</si>
  <si>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</si>
  <si>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</si>
  <si>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</si>
  <si>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</si>
  <si>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</si>
  <si>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</si>
  <si>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</si>
  <si>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</si>
  <si>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</si>
  <si>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</si>
  <si>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</si>
  <si>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</si>
  <si>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</si>
  <si>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</si>
  <si>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</si>
  <si>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</si>
  <si>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</si>
  <si>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</si>
  <si>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</si>
  <si>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</si>
  <si>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</si>
  <si>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</si>
  <si>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</si>
  <si>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</si>
  <si>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</si>
  <si>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</si>
  <si>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</si>
  <si>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</si>
  <si>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</si>
  <si>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</si>
  <si>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</si>
  <si>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</si>
  <si>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</si>
  <si>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</si>
  <si>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</si>
  <si>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</si>
  <si>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</si>
  <si>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</si>
  <si>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</si>
  <si>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</si>
  <si>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</si>
  <si>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</si>
  <si>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</si>
  <si>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</si>
  <si>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</si>
  <si>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</si>
  <si>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</si>
  <si>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</si>
  <si>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</si>
  <si>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</si>
  <si>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</si>
  <si>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</si>
  <si>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</si>
  <si>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</si>
  <si>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</si>
  <si>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</si>
  <si>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</si>
  <si>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</si>
  <si>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</si>
  <si>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</si>
  <si>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</si>
  <si>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</si>
  <si>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</si>
  <si>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</si>
  <si>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</si>
  <si>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</si>
  <si>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</si>
  <si>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</si>
  <si>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</si>
  <si>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</si>
  <si>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</si>
  <si>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</si>
  <si>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</si>
  <si>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</si>
  <si>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</si>
  <si>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</si>
  <si>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</si>
  <si>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</si>
  <si>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</si>
  <si>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</si>
  <si>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</si>
  <si>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</si>
  <si>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</si>
  <si>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</si>
  <si>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</si>
  <si>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</si>
  <si>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</si>
  <si>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</si>
  <si>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</si>
  <si>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</si>
  <si>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</si>
  <si>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</si>
  <si>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</si>
  <si>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</si>
  <si>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</si>
  <si>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</si>
  <si>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</si>
  <si>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</si>
  <si>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</si>
  <si>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</si>
  <si>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</si>
  <si>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</si>
  <si>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</si>
  <si>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</si>
  <si>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</si>
  <si>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</si>
  <si>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</si>
  <si>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</si>
  <si>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</si>
  <si>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</si>
  <si>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</si>
  <si>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</si>
  <si>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</si>
  <si>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</si>
  <si>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</si>
  <si>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</si>
  <si>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</si>
  <si>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</si>
  <si>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</si>
  <si>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</si>
  <si>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</si>
  <si>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</si>
  <si>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</si>
  <si>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</si>
  <si>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</si>
  <si>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</si>
  <si>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</si>
  <si>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</si>
  <si>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</si>
  <si>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</si>
  <si>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</si>
  <si>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</si>
  <si>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</si>
  <si>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</si>
  <si>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</si>
  <si>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</si>
  <si>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</si>
  <si>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</si>
  <si>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</si>
  <si>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</si>
  <si>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</si>
  <si>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</si>
  <si>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</si>
  <si>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</si>
  <si>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</si>
  <si>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</si>
  <si>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</si>
  <si>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</si>
  <si>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</si>
  <si>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</si>
  <si>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</si>
  <si>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</si>
  <si>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</si>
  <si>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</si>
  <si>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</si>
  <si>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</si>
  <si>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</si>
  <si>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</si>
  <si>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</si>
  <si>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</si>
  <si>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</si>
  <si>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</si>
  <si>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</si>
  <si>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</si>
  <si>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</si>
  <si>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</si>
  <si>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</si>
  <si>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</si>
  <si>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</si>
  <si>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</si>
  <si>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</si>
  <si>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</si>
  <si>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</si>
  <si>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</si>
  <si>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</si>
  <si>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</si>
  <si>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</si>
  <si>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</si>
  <si>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</si>
  <si>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</si>
  <si>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</si>
  <si>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</si>
  <si>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</si>
  <si>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</si>
  <si>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</si>
  <si>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</si>
  <si>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</si>
  <si>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</si>
  <si>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</si>
  <si>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</si>
  <si>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</si>
  <si>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</si>
  <si>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</si>
  <si>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</si>
  <si>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</si>
  <si>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</si>
  <si>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</si>
  <si>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</si>
  <si>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</si>
  <si>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</si>
  <si>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</si>
  <si>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</si>
  <si>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</si>
  <si>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</si>
  <si>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</si>
  <si>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</si>
  <si>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</si>
  <si>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</si>
  <si>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</si>
  <si>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</si>
  <si>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</si>
  <si>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</si>
  <si>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</si>
  <si>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</si>
  <si>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</si>
  <si>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</si>
  <si>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</si>
  <si>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</si>
  <si>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</si>
  <si>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</si>
  <si>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</si>
  <si>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</si>
  <si>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</si>
  <si>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</si>
  <si>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</si>
  <si>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</si>
  <si>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</si>
  <si>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</si>
  <si>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</si>
  <si>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</si>
  <si>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</si>
  <si>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</si>
  <si>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</si>
  <si>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</si>
  <si>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</si>
  <si>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</si>
  <si>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</si>
  <si>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</si>
  <si>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</si>
  <si>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</si>
  <si>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</si>
  <si>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</si>
  <si>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</si>
  <si>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</si>
  <si>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</si>
  <si>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</si>
  <si>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</si>
  <si>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</si>
  <si>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</si>
  <si>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</si>
  <si>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</si>
  <si>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</si>
  <si>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</si>
  <si>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</si>
  <si>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</si>
  <si>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</si>
  <si>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</si>
  <si>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</si>
  <si>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</si>
  <si>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</si>
  <si>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</si>
  <si>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</si>
  <si>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</si>
  <si>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</si>
  <si>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</si>
  <si>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</si>
  <si>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</si>
  <si>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</si>
  <si>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</si>
  <si>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</si>
  <si>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</si>
  <si>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</si>
  <si>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</si>
  <si>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</si>
  <si>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</si>
  <si>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</si>
  <si>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</si>
  <si>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</si>
  <si>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</si>
  <si>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</si>
  <si>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</si>
  <si>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</si>
  <si>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</si>
  <si>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</si>
  <si>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</si>
  <si>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</si>
  <si>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</si>
  <si>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</si>
  <si>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</si>
  <si>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</si>
  <si>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</si>
  <si>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</si>
  <si>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</si>
  <si>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</si>
  <si>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</si>
  <si>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</si>
  <si>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</si>
  <si>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</si>
  <si>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</si>
  <si>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</si>
  <si>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</si>
  <si>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</si>
  <si>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</si>
  <si>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</si>
  <si>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</si>
  <si>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</si>
  <si>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</si>
  <si>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</si>
  <si>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</si>
  <si>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</si>
  <si>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</si>
  <si>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</si>
  <si>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</si>
  <si>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</si>
  <si>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</si>
  <si>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</si>
  <si>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</si>
  <si>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</si>
  <si>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</si>
  <si>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</si>
  <si>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</si>
  <si>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</si>
  <si>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</si>
  <si>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</si>
  <si>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</si>
  <si>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</si>
  <si>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</si>
  <si>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</si>
  <si>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</si>
  <si>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</si>
  <si>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</si>
  <si>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</si>
  <si>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</si>
  <si>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</si>
  <si>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</si>
  <si>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</si>
  <si>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</si>
  <si>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</si>
  <si>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</si>
  <si>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</si>
  <si>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</si>
  <si>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</si>
  <si>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</si>
  <si>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</si>
  <si>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</si>
  <si>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</si>
  <si>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</si>
  <si>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</si>
  <si>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</si>
  <si>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</si>
  <si>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</si>
  <si>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</si>
  <si>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</si>
  <si>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</si>
  <si>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</si>
  <si>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</si>
  <si>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</si>
  <si>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</si>
  <si>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</si>
  <si>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</si>
  <si>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</si>
  <si>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</si>
  <si>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</si>
  <si>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</si>
  <si>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</si>
  <si>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</si>
  <si>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</si>
  <si>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</si>
  <si>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</si>
  <si>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</si>
  <si>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</si>
  <si>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</si>
  <si>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</si>
  <si>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</si>
  <si>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</si>
  <si>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</si>
  <si>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</si>
  <si>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</si>
  <si>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73032</t>
  </si>
  <si>
    <t>HOESELT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</si>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</sst>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2179807-FDB3-4292-8CBA-9AD015020B26}"/>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73032</v>
      </c>
      <c r="B6" s="382"/>
      <c r="C6" s="383"/>
    </row>
    <row r="7" spans="1:7" s="380" customFormat="1" ht="15.75" customHeight="1">
      <c r="A7" s="384" t="str">
        <f>txtMunicipality</f>
        <v>HOESELT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0.20581296013124972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0.20581296013124972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3815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1641</v>
      </c>
      <c r="C14" s="324"/>
      <c r="D14" s="324"/>
      <c r="E14" s="324"/>
      <c r="F14" s="324"/>
    </row>
    <row r="15" spans="1:6">
      <c r="A15" s="1235" t="s">
        <v>177</v>
      </c>
      <c r="B15" s="1236">
        <v>5</v>
      </c>
      <c r="C15" s="324"/>
      <c r="D15" s="324"/>
      <c r="E15" s="324"/>
      <c r="F15" s="324"/>
    </row>
    <row r="16" spans="1:6">
      <c r="A16" s="1235" t="s">
        <v>6</v>
      </c>
      <c r="B16" s="1236">
        <v>104</v>
      </c>
      <c r="C16" s="324"/>
      <c r="D16" s="324"/>
      <c r="E16" s="324"/>
      <c r="F16" s="324"/>
    </row>
    <row r="17" spans="1:6">
      <c r="A17" s="1235" t="s">
        <v>7</v>
      </c>
      <c r="B17" s="1236">
        <v>320</v>
      </c>
      <c r="C17" s="324"/>
      <c r="D17" s="324"/>
      <c r="E17" s="324"/>
      <c r="F17" s="324"/>
    </row>
    <row r="18" spans="1:6">
      <c r="A18" s="1235" t="s">
        <v>8</v>
      </c>
      <c r="B18" s="1236">
        <v>280</v>
      </c>
      <c r="C18" s="324"/>
      <c r="D18" s="324"/>
      <c r="E18" s="324"/>
      <c r="F18" s="324"/>
    </row>
    <row r="19" spans="1:6">
      <c r="A19" s="1235" t="s">
        <v>9</v>
      </c>
      <c r="B19" s="1236">
        <v>247</v>
      </c>
      <c r="C19" s="324"/>
      <c r="D19" s="324"/>
      <c r="E19" s="324"/>
      <c r="F19" s="324"/>
    </row>
    <row r="20" spans="1:6">
      <c r="A20" s="1235" t="s">
        <v>10</v>
      </c>
      <c r="B20" s="1236">
        <v>243</v>
      </c>
      <c r="C20" s="324"/>
      <c r="D20" s="324"/>
      <c r="E20" s="324"/>
      <c r="F20" s="324"/>
    </row>
    <row r="21" spans="1:6">
      <c r="A21" s="1235" t="s">
        <v>11</v>
      </c>
      <c r="B21" s="1236">
        <v>2794</v>
      </c>
      <c r="C21" s="324"/>
      <c r="D21" s="324"/>
      <c r="E21" s="324"/>
      <c r="F21" s="324"/>
    </row>
    <row r="22" spans="1:6">
      <c r="A22" s="1235" t="s">
        <v>12</v>
      </c>
      <c r="B22" s="1236">
        <v>7112</v>
      </c>
      <c r="C22" s="324"/>
      <c r="D22" s="324"/>
      <c r="E22" s="324"/>
      <c r="F22" s="324"/>
    </row>
    <row r="23" spans="1:6">
      <c r="A23" s="1235" t="s">
        <v>13</v>
      </c>
      <c r="B23" s="1236">
        <v>109</v>
      </c>
      <c r="C23" s="324"/>
      <c r="D23" s="324"/>
      <c r="E23" s="324"/>
      <c r="F23" s="324"/>
    </row>
    <row r="24" spans="1:6">
      <c r="A24" s="1235" t="s">
        <v>14</v>
      </c>
      <c r="B24" s="1236">
        <v>7</v>
      </c>
      <c r="C24" s="324"/>
      <c r="D24" s="324"/>
      <c r="E24" s="324"/>
      <c r="F24" s="324"/>
    </row>
    <row r="25" spans="1:6">
      <c r="A25" s="1235" t="s">
        <v>15</v>
      </c>
      <c r="B25" s="1236">
        <v>736</v>
      </c>
      <c r="C25" s="324"/>
      <c r="D25" s="324"/>
      <c r="E25" s="324"/>
      <c r="F25" s="324"/>
    </row>
    <row r="26" spans="1:6">
      <c r="A26" s="1235" t="s">
        <v>16</v>
      </c>
      <c r="B26" s="1236">
        <v>65</v>
      </c>
      <c r="C26" s="324"/>
      <c r="D26" s="324"/>
      <c r="E26" s="324"/>
      <c r="F26" s="324"/>
    </row>
    <row r="27" spans="1:6">
      <c r="A27" s="1235" t="s">
        <v>17</v>
      </c>
      <c r="B27" s="1236">
        <v>0</v>
      </c>
      <c r="C27" s="324"/>
      <c r="D27" s="324"/>
      <c r="E27" s="324"/>
      <c r="F27" s="324"/>
    </row>
    <row r="28" spans="1:6">
      <c r="A28" s="1235" t="s">
        <v>18</v>
      </c>
      <c r="B28" s="1237">
        <v>7</v>
      </c>
      <c r="C28" s="324"/>
      <c r="D28" s="324"/>
      <c r="E28" s="324"/>
      <c r="F28" s="324"/>
    </row>
    <row r="29" spans="1:6">
      <c r="A29" s="1235" t="s">
        <v>959</v>
      </c>
      <c r="B29" s="1237">
        <v>50</v>
      </c>
      <c r="C29" s="324"/>
      <c r="D29" s="324"/>
      <c r="E29" s="324"/>
      <c r="F29" s="324"/>
    </row>
    <row r="30" spans="1:6">
      <c r="A30" s="1230" t="s">
        <v>960</v>
      </c>
      <c r="B30" s="1238">
        <v>40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3</v>
      </c>
      <c r="F38" s="1236">
        <v>84180</v>
      </c>
    </row>
    <row r="39" spans="1:6">
      <c r="A39" s="1235" t="s">
        <v>29</v>
      </c>
      <c r="B39" s="1235" t="s">
        <v>30</v>
      </c>
      <c r="C39" s="1236">
        <v>1200</v>
      </c>
      <c r="D39" s="1236">
        <v>20264208</v>
      </c>
      <c r="E39" s="1236">
        <v>3872</v>
      </c>
      <c r="F39" s="1236">
        <v>15925003</v>
      </c>
    </row>
    <row r="40" spans="1:6">
      <c r="A40" s="1235" t="s">
        <v>29</v>
      </c>
      <c r="B40" s="1235" t="s">
        <v>28</v>
      </c>
      <c r="C40" s="1236">
        <v>0</v>
      </c>
      <c r="D40" s="1236">
        <v>0</v>
      </c>
      <c r="E40" s="1236">
        <v>0</v>
      </c>
      <c r="F40" s="1236">
        <v>0</v>
      </c>
    </row>
    <row r="41" spans="1:6">
      <c r="A41" s="1235" t="s">
        <v>31</v>
      </c>
      <c r="B41" s="1235" t="s">
        <v>32</v>
      </c>
      <c r="C41" s="1236">
        <v>10</v>
      </c>
      <c r="D41" s="1236">
        <v>424782</v>
      </c>
      <c r="E41" s="1236">
        <v>43</v>
      </c>
      <c r="F41" s="1236">
        <v>442182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112100</v>
      </c>
      <c r="E44" s="1236">
        <v>13</v>
      </c>
      <c r="F44" s="1236">
        <v>425767</v>
      </c>
    </row>
    <row r="45" spans="1:6">
      <c r="A45" s="1235" t="s">
        <v>31</v>
      </c>
      <c r="B45" s="1235" t="s">
        <v>36</v>
      </c>
      <c r="C45" s="1236">
        <v>4</v>
      </c>
      <c r="D45" s="1236">
        <v>435691</v>
      </c>
      <c r="E45" s="1236">
        <v>7</v>
      </c>
      <c r="F45" s="1236">
        <v>642251</v>
      </c>
    </row>
    <row r="46" spans="1:6">
      <c r="A46" s="1235" t="s">
        <v>31</v>
      </c>
      <c r="B46" s="1235" t="s">
        <v>37</v>
      </c>
      <c r="C46" s="1236">
        <v>0</v>
      </c>
      <c r="D46" s="1236">
        <v>0</v>
      </c>
      <c r="E46" s="1236">
        <v>0</v>
      </c>
      <c r="F46" s="1236">
        <v>0</v>
      </c>
    </row>
    <row r="47" spans="1:6">
      <c r="A47" s="1235" t="s">
        <v>31</v>
      </c>
      <c r="B47" s="1235" t="s">
        <v>38</v>
      </c>
      <c r="C47" s="1236">
        <v>3</v>
      </c>
      <c r="D47" s="1236">
        <v>178814</v>
      </c>
      <c r="E47" s="1236">
        <v>4</v>
      </c>
      <c r="F47" s="1236">
        <v>150484</v>
      </c>
    </row>
    <row r="48" spans="1:6">
      <c r="A48" s="1235" t="s">
        <v>31</v>
      </c>
      <c r="B48" s="1235" t="s">
        <v>28</v>
      </c>
      <c r="C48" s="1236">
        <v>2</v>
      </c>
      <c r="D48" s="1236">
        <v>325408</v>
      </c>
      <c r="E48" s="1236">
        <v>3</v>
      </c>
      <c r="F48" s="1236">
        <v>69954</v>
      </c>
    </row>
    <row r="49" spans="1:6">
      <c r="A49" s="1235" t="s">
        <v>31</v>
      </c>
      <c r="B49" s="1235" t="s">
        <v>39</v>
      </c>
      <c r="C49" s="1236">
        <v>0</v>
      </c>
      <c r="D49" s="1236">
        <v>0</v>
      </c>
      <c r="E49" s="1236">
        <v>0</v>
      </c>
      <c r="F49" s="1236">
        <v>0</v>
      </c>
    </row>
    <row r="50" spans="1:6">
      <c r="A50" s="1235" t="s">
        <v>31</v>
      </c>
      <c r="B50" s="1235" t="s">
        <v>40</v>
      </c>
      <c r="C50" s="1236">
        <v>5</v>
      </c>
      <c r="D50" s="1236">
        <v>307937</v>
      </c>
      <c r="E50" s="1236">
        <v>11</v>
      </c>
      <c r="F50" s="1236">
        <v>2568891</v>
      </c>
    </row>
    <row r="51" spans="1:6">
      <c r="A51" s="1235" t="s">
        <v>41</v>
      </c>
      <c r="B51" s="1235" t="s">
        <v>42</v>
      </c>
      <c r="C51" s="1236">
        <v>6</v>
      </c>
      <c r="D51" s="1236">
        <v>415423</v>
      </c>
      <c r="E51" s="1236">
        <v>58</v>
      </c>
      <c r="F51" s="1236">
        <v>973362</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50</v>
      </c>
      <c r="F54" s="1236">
        <v>600392</v>
      </c>
    </row>
    <row r="55" spans="1:6">
      <c r="A55" s="1235" t="s">
        <v>45</v>
      </c>
      <c r="B55" s="1235" t="s">
        <v>28</v>
      </c>
      <c r="C55" s="1236">
        <v>0</v>
      </c>
      <c r="D55" s="1236">
        <v>0</v>
      </c>
      <c r="E55" s="1236">
        <v>0</v>
      </c>
      <c r="F55" s="1236">
        <v>0</v>
      </c>
    </row>
    <row r="56" spans="1:6">
      <c r="A56" s="1235" t="s">
        <v>47</v>
      </c>
      <c r="B56" s="1235" t="s">
        <v>28</v>
      </c>
      <c r="C56" s="1236">
        <v>12</v>
      </c>
      <c r="D56" s="1236">
        <v>430714</v>
      </c>
      <c r="E56" s="1236">
        <v>87</v>
      </c>
      <c r="F56" s="1236">
        <v>698744</v>
      </c>
    </row>
    <row r="57" spans="1:6">
      <c r="A57" s="1235" t="s">
        <v>48</v>
      </c>
      <c r="B57" s="1235" t="s">
        <v>49</v>
      </c>
      <c r="C57" s="1236">
        <v>8</v>
      </c>
      <c r="D57" s="1236">
        <v>189111</v>
      </c>
      <c r="E57" s="1236">
        <v>38</v>
      </c>
      <c r="F57" s="1236">
        <v>588518</v>
      </c>
    </row>
    <row r="58" spans="1:6">
      <c r="A58" s="1235" t="s">
        <v>48</v>
      </c>
      <c r="B58" s="1235" t="s">
        <v>50</v>
      </c>
      <c r="C58" s="1236">
        <v>7</v>
      </c>
      <c r="D58" s="1236">
        <v>259944</v>
      </c>
      <c r="E58" s="1236">
        <v>9</v>
      </c>
      <c r="F58" s="1236">
        <v>254090</v>
      </c>
    </row>
    <row r="59" spans="1:6">
      <c r="A59" s="1235" t="s">
        <v>48</v>
      </c>
      <c r="B59" s="1235" t="s">
        <v>51</v>
      </c>
      <c r="C59" s="1236">
        <v>35</v>
      </c>
      <c r="D59" s="1236">
        <v>3735704</v>
      </c>
      <c r="E59" s="1236">
        <v>95</v>
      </c>
      <c r="F59" s="1236">
        <v>4883792</v>
      </c>
    </row>
    <row r="60" spans="1:6">
      <c r="A60" s="1235" t="s">
        <v>48</v>
      </c>
      <c r="B60" s="1235" t="s">
        <v>52</v>
      </c>
      <c r="C60" s="1236">
        <v>14</v>
      </c>
      <c r="D60" s="1236">
        <v>431390</v>
      </c>
      <c r="E60" s="1236">
        <v>31</v>
      </c>
      <c r="F60" s="1236">
        <v>710432</v>
      </c>
    </row>
    <row r="61" spans="1:6">
      <c r="A61" s="1235" t="s">
        <v>48</v>
      </c>
      <c r="B61" s="1235" t="s">
        <v>53</v>
      </c>
      <c r="C61" s="1236">
        <v>32</v>
      </c>
      <c r="D61" s="1236">
        <v>1616059</v>
      </c>
      <c r="E61" s="1236">
        <v>131</v>
      </c>
      <c r="F61" s="1236">
        <v>1747171</v>
      </c>
    </row>
    <row r="62" spans="1:6">
      <c r="A62" s="1235" t="s">
        <v>48</v>
      </c>
      <c r="B62" s="1235" t="s">
        <v>54</v>
      </c>
      <c r="C62" s="1236">
        <v>0</v>
      </c>
      <c r="D62" s="1236">
        <v>0</v>
      </c>
      <c r="E62" s="1236">
        <v>8</v>
      </c>
      <c r="F62" s="1236">
        <v>152023</v>
      </c>
    </row>
    <row r="63" spans="1:6">
      <c r="A63" s="1235" t="s">
        <v>48</v>
      </c>
      <c r="B63" s="1235" t="s">
        <v>28</v>
      </c>
      <c r="C63" s="1236">
        <v>2</v>
      </c>
      <c r="D63" s="1236">
        <v>74428</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68787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19077088</v>
      </c>
      <c r="E73" s="443"/>
      <c r="F73" s="324"/>
    </row>
    <row r="74" spans="1:6">
      <c r="A74" s="1235" t="s">
        <v>63</v>
      </c>
      <c r="B74" s="1235" t="s">
        <v>730</v>
      </c>
      <c r="C74" s="1248" t="s">
        <v>731</v>
      </c>
      <c r="D74" s="1236">
        <v>251712.69883878759</v>
      </c>
      <c r="E74" s="443"/>
      <c r="F74" s="324"/>
    </row>
    <row r="75" spans="1:6">
      <c r="A75" s="1235" t="s">
        <v>64</v>
      </c>
      <c r="B75" s="1235" t="s">
        <v>728</v>
      </c>
      <c r="C75" s="1248" t="s">
        <v>732</v>
      </c>
      <c r="D75" s="1236">
        <v>16950645</v>
      </c>
      <c r="E75" s="443"/>
      <c r="F75" s="324"/>
    </row>
    <row r="76" spans="1:6">
      <c r="A76" s="1235" t="s">
        <v>64</v>
      </c>
      <c r="B76" s="1235" t="s">
        <v>730</v>
      </c>
      <c r="C76" s="1248" t="s">
        <v>733</v>
      </c>
      <c r="D76" s="1236">
        <v>8275.1</v>
      </c>
      <c r="E76" s="443"/>
      <c r="F76" s="324"/>
    </row>
    <row r="77" spans="1:6">
      <c r="A77" s="1235" t="s">
        <v>65</v>
      </c>
      <c r="B77" s="1235" t="s">
        <v>728</v>
      </c>
      <c r="C77" s="1248" t="s">
        <v>734</v>
      </c>
      <c r="D77" s="1236">
        <v>57744895</v>
      </c>
      <c r="E77" s="443"/>
      <c r="F77" s="324"/>
    </row>
    <row r="78" spans="1:6">
      <c r="A78" s="1230" t="s">
        <v>65</v>
      </c>
      <c r="B78" s="1230" t="s">
        <v>730</v>
      </c>
      <c r="C78" s="1230" t="s">
        <v>735</v>
      </c>
      <c r="D78" s="1238">
        <v>9381431</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151244.60232242482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1555.9671444089065</v>
      </c>
      <c r="C91" s="324"/>
      <c r="D91" s="324"/>
      <c r="E91" s="324"/>
      <c r="F91" s="324"/>
    </row>
    <row r="92" spans="1:6">
      <c r="A92" s="1230" t="s">
        <v>68</v>
      </c>
      <c r="B92" s="1231">
        <v>670.04131141301184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314</v>
      </c>
      <c r="C97" s="324"/>
      <c r="D97" s="324"/>
      <c r="E97" s="324"/>
      <c r="F97" s="324"/>
    </row>
    <row r="98" spans="1:6">
      <c r="A98" s="1235" t="s">
        <v>71</v>
      </c>
      <c r="B98" s="1236">
        <v>1</v>
      </c>
      <c r="C98" s="324"/>
      <c r="D98" s="324"/>
      <c r="E98" s="324"/>
      <c r="F98" s="324"/>
    </row>
    <row r="99" spans="1:6">
      <c r="A99" s="1235" t="s">
        <v>72</v>
      </c>
      <c r="B99" s="1236">
        <v>24</v>
      </c>
      <c r="C99" s="324"/>
      <c r="D99" s="324"/>
      <c r="E99" s="324"/>
      <c r="F99" s="324"/>
    </row>
    <row r="100" spans="1:6">
      <c r="A100" s="1235" t="s">
        <v>73</v>
      </c>
      <c r="B100" s="1236">
        <v>113</v>
      </c>
      <c r="C100" s="324"/>
      <c r="D100" s="324"/>
      <c r="E100" s="324"/>
      <c r="F100" s="324"/>
    </row>
    <row r="101" spans="1:6">
      <c r="A101" s="1235" t="s">
        <v>74</v>
      </c>
      <c r="B101" s="1236">
        <v>39</v>
      </c>
      <c r="C101" s="324"/>
      <c r="D101" s="324"/>
      <c r="E101" s="324"/>
      <c r="F101" s="324"/>
    </row>
    <row r="102" spans="1:6">
      <c r="A102" s="1235" t="s">
        <v>75</v>
      </c>
      <c r="B102" s="1236">
        <v>41</v>
      </c>
      <c r="C102" s="324"/>
      <c r="D102" s="324"/>
      <c r="E102" s="324"/>
      <c r="F102" s="324"/>
    </row>
    <row r="103" spans="1:6">
      <c r="A103" s="1235" t="s">
        <v>76</v>
      </c>
      <c r="B103" s="1236">
        <v>91</v>
      </c>
      <c r="C103" s="324"/>
      <c r="D103" s="324"/>
      <c r="E103" s="324"/>
      <c r="F103" s="324"/>
    </row>
    <row r="104" spans="1:6">
      <c r="A104" s="1235" t="s">
        <v>77</v>
      </c>
      <c r="B104" s="1236">
        <v>2838</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28</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32392.610606686001</v>
      </c>
      <c r="C3" s="43" t="s">
        <v>163</v>
      </c>
      <c r="D3" s="43"/>
      <c r="E3" s="155"/>
      <c r="F3" s="43"/>
      <c r="G3" s="43"/>
      <c r="H3" s="43"/>
      <c r="I3" s="43"/>
      <c r="J3" s="43"/>
      <c r="K3" s="96"/>
    </row>
    <row r="4" spans="1:11">
      <c r="A4" s="350" t="s">
        <v>164</v>
      </c>
      <c r="B4" s="49">
        <f>IF(ISERROR('SEAP template'!B78+'SEAP template'!C78),0,'SEAP template'!B78+'SEAP template'!C78)</f>
        <v>2226.0084558219182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0.20581296013124972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600.39200000000005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600.39200000000005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0.20581296013124972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123.56845475912129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15925.003000000001</v>
      </c>
      <c r="C5" s="17">
        <f>IF(ISERROR('Eigen informatie GS &amp; warmtenet'!B57),0,'Eigen informatie GS &amp; warmtenet'!B57)</f>
        <v>0</v>
      </c>
      <c r="D5" s="30">
        <f>(SUM(HH_hh_gas_kWh,HH_rest_gas_kWh)/1000)*0.902</f>
        <v>18278.315616</v>
      </c>
      <c r="E5" s="17">
        <f>B32*B41</f>
        <v>1287.3161323576826</v>
      </c>
      <c r="F5" s="17">
        <f>B36*B45</f>
        <v>43941.758177561009</v>
      </c>
      <c r="G5" s="18"/>
      <c r="H5" s="17"/>
      <c r="I5" s="17"/>
      <c r="J5" s="17">
        <f>B35*B44+C35*C44</f>
        <v>989.4569891823686</v>
      </c>
      <c r="K5" s="17"/>
      <c r="L5" s="17"/>
      <c r="M5" s="17"/>
      <c r="N5" s="17">
        <f>B34*B43+C34*C43</f>
        <v>4983.9593223839938</v>
      </c>
      <c r="O5" s="17">
        <f>B52*B53*B54</f>
        <v>46.9</v>
      </c>
      <c r="P5" s="17">
        <f>B60*B61*B62/1000-B60*B61*B62/1000/B63</f>
        <v>152.53333333333333</v>
      </c>
    </row>
    <row r="6" spans="1:16">
      <c r="A6" s="16" t="s">
        <v>591</v>
      </c>
      <c r="B6" s="727">
        <f>kWh_PV_kleiner_dan_10kW</f>
        <v>1555.9671444089065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17480.970144408908</v>
      </c>
      <c r="C8" s="21">
        <f>C5</f>
        <v>0</v>
      </c>
      <c r="D8" s="21">
        <f>D5</f>
        <v>18278.315616</v>
      </c>
      <c r="E8" s="21">
        <f>E5</f>
        <v>1287.3161323576826</v>
      </c>
      <c r="F8" s="21">
        <f>F5</f>
        <v>43941.758177561009</v>
      </c>
      <c r="G8" s="21"/>
      <c r="H8" s="21"/>
      <c r="I8" s="21"/>
      <c r="J8" s="21">
        <f>J5</f>
        <v>989.4569891823686</v>
      </c>
      <c r="K8" s="21"/>
      <c r="L8" s="21">
        <f>L5</f>
        <v>0</v>
      </c>
      <c r="M8" s="21">
        <f>M5</f>
        <v>0</v>
      </c>
      <c r="N8" s="21">
        <f>N5</f>
        <v>4983.9593223839938</v>
      </c>
      <c r="O8" s="21">
        <f>O5</f>
        <v>46.9</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0.20581296013124972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3597.8102113867972</v>
      </c>
      <c r="C12" s="23">
        <f ca="1">C10*C8</f>
        <v>0</v>
      </c>
      <c r="D12" s="23">
        <f>D8*D10</f>
        <v>3692.2197544320002</v>
      </c>
      <c r="E12" s="23">
        <f>E10*E8</f>
        <v>292.22076204519396</v>
      </c>
      <c r="F12" s="23">
        <f>F10*F8</f>
        <v>11732.44943340879</v>
      </c>
      <c r="G12" s="23"/>
      <c r="H12" s="23"/>
      <c r="I12" s="23"/>
      <c r="J12" s="23">
        <f>J10*J8</f>
        <v>350.26777417055848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3815</v>
      </c>
      <c r="C26" s="36"/>
      <c r="D26" s="225"/>
    </row>
    <row r="27" spans="1:5" s="15" customFormat="1">
      <c r="A27" s="227" t="s">
        <v>671</v>
      </c>
      <c r="B27" s="37">
        <f>SUM(HH_hh_gas_aantal,HH_rest_gas_aantal)</f>
        <v>1200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1140</v>
      </c>
      <c r="C31" s="34" t="s">
        <v>104</v>
      </c>
      <c r="D31" s="171"/>
    </row>
    <row r="32" spans="1:5">
      <c r="A32" s="168" t="s">
        <v>72</v>
      </c>
      <c r="B32" s="33">
        <f>IF((B21*($B$26-($B$27-0.05*$B$27)-$B$60))&lt;0,0,B21*($B$26-($B$27-0.05*$B$27)-$B$60))</f>
        <v>18.907879593064745</v>
      </c>
      <c r="C32" s="34" t="s">
        <v>104</v>
      </c>
      <c r="D32" s="171"/>
    </row>
    <row r="33" spans="1:6">
      <c r="A33" s="168" t="s">
        <v>73</v>
      </c>
      <c r="B33" s="33">
        <f>IF((B22*($B$26-($B$27-0.05*$B$27)-$B$60))&lt;0,0,B22*($B$26-($B$27-0.05*$B$27)-$B$60))</f>
        <v>541.89725663661079</v>
      </c>
      <c r="C33" s="34" t="s">
        <v>104</v>
      </c>
      <c r="D33" s="171"/>
    </row>
    <row r="34" spans="1:6">
      <c r="A34" s="168" t="s">
        <v>74</v>
      </c>
      <c r="B34" s="33">
        <f>IF((B24*($B$26-($B$27-0.05*$B$27)-$B$60))&lt;0,0,B24*($B$26-($B$27-0.05*$B$27)-$B$60))</f>
        <v>108.06003991646993</v>
      </c>
      <c r="C34" s="33">
        <f>B26*C24</f>
        <v>780.08210019494709</v>
      </c>
      <c r="D34" s="230"/>
    </row>
    <row r="35" spans="1:6">
      <c r="A35" s="168" t="s">
        <v>76</v>
      </c>
      <c r="B35" s="33">
        <f>IF((B19*($B$26-($B$27-0.05*$B$27)-$B$60))&lt;0,0,B19*($B$26-($B$27-0.05*$B$27)-$B$60))</f>
        <v>56.273451169835553</v>
      </c>
      <c r="C35" s="33">
        <f>B35/2</f>
        <v>28.136725584917777</v>
      </c>
      <c r="D35" s="230"/>
    </row>
    <row r="36" spans="1:6">
      <c r="A36" s="168" t="s">
        <v>77</v>
      </c>
      <c r="B36" s="33">
        <f>IF((B18*($B$26-($B$27-0.05*$B$27)-$B$60))&lt;0,0,B18*($B$26-($B$27-0.05*$B$27)-$B$60))</f>
        <v>1941.861372684019</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8336.0259999999998</v>
      </c>
      <c r="C5" s="17">
        <f>IF(ISERROR('Eigen informatie GS &amp; warmtenet'!B58),0,'Eigen informatie GS &amp; warmtenet'!B58)</f>
        <v>0</v>
      </c>
      <c r="D5" s="30">
        <f>SUM(D6:D12)</f>
        <v>5688.5856720000002</v>
      </c>
      <c r="E5" s="17">
        <f>SUM(E6:E12)</f>
        <v>127.94379036691772</v>
      </c>
      <c r="F5" s="17">
        <f>SUM(F6:F12)</f>
        <v>1518.8859120049804</v>
      </c>
      <c r="G5" s="18"/>
      <c r="H5" s="17"/>
      <c r="I5" s="17"/>
      <c r="J5" s="17">
        <f>SUM(J6:J12)</f>
        <v>0</v>
      </c>
      <c r="K5" s="17"/>
      <c r="L5" s="17"/>
      <c r="M5" s="17"/>
      <c r="N5" s="17">
        <f>SUM(N6:N12)</f>
        <v>154.44657651148214</v>
      </c>
      <c r="O5" s="17">
        <f>B38*B39*B40</f>
        <v>0</v>
      </c>
      <c r="P5" s="17">
        <f>B46*B47*B48/1000-B46*B47*B48/1000/B49</f>
        <v>19.066666666666666</v>
      </c>
      <c r="R5" s="32"/>
    </row>
    <row r="6" spans="1:18">
      <c r="A6" s="32" t="s">
        <v>53</v>
      </c>
      <c r="B6" s="37">
        <f>B26</f>
        <v>1747.171</v>
      </c>
      <c r="C6" s="33"/>
      <c r="D6" s="37">
        <f>IF(ISERROR(TER_kantoor_gas_kWh/1000),0,TER_kantoor_gas_kWh/1000)*0.902</f>
        <v>1457.6852180000001</v>
      </c>
      <c r="E6" s="33">
        <f>$C$26*'E Balans VL '!I12/100/3.6*1000000</f>
        <v>60.438158361202809</v>
      </c>
      <c r="F6" s="33">
        <f>$C$26*('E Balans VL '!L12+'E Balans VL '!N12)/100/3.6*1000000</f>
        <v>266.7242054146584</v>
      </c>
      <c r="G6" s="34"/>
      <c r="H6" s="33"/>
      <c r="I6" s="33"/>
      <c r="J6" s="33">
        <f>$C$26*('E Balans VL '!D12+'E Balans VL '!E12)/100/3.6*1000000</f>
        <v>0</v>
      </c>
      <c r="K6" s="33"/>
      <c r="L6" s="33"/>
      <c r="M6" s="33"/>
      <c r="N6" s="33">
        <f>$C$26*'E Balans VL '!Y12/100/3.6*1000000</f>
        <v>26.933471512338738</v>
      </c>
      <c r="O6" s="33"/>
      <c r="P6" s="33"/>
      <c r="R6" s="32"/>
    </row>
    <row r="7" spans="1:18">
      <c r="A7" s="32" t="s">
        <v>52</v>
      </c>
      <c r="B7" s="37">
        <f t="shared" ref="B7:B12" si="0">B27</f>
        <v>710.43200000000002</v>
      </c>
      <c r="C7" s="33"/>
      <c r="D7" s="37">
        <f>IF(ISERROR(TER_horeca_gas_kWh/1000),0,TER_horeca_gas_kWh/1000)*0.902</f>
        <v>389.11378000000002</v>
      </c>
      <c r="E7" s="33">
        <f>$C$27*'E Balans VL '!I9/100/3.6*1000000</f>
        <v>38.933931092217385</v>
      </c>
      <c r="F7" s="33">
        <f>$C$27*('E Balans VL '!L9+'E Balans VL '!N9)/100/3.6*1000000</f>
        <v>120.22885824342276</v>
      </c>
      <c r="G7" s="34"/>
      <c r="H7" s="33"/>
      <c r="I7" s="33"/>
      <c r="J7" s="33">
        <f>$C$27*('E Balans VL '!D9+'E Balans VL '!E9)/100/3.6*1000000</f>
        <v>0</v>
      </c>
      <c r="K7" s="33"/>
      <c r="L7" s="33"/>
      <c r="M7" s="33"/>
      <c r="N7" s="33">
        <f>$C$27*'E Balans VL '!Y9/100/3.6*1000000</f>
        <v>0</v>
      </c>
      <c r="O7" s="33"/>
      <c r="P7" s="33"/>
      <c r="R7" s="32"/>
    </row>
    <row r="8" spans="1:18">
      <c r="A8" s="6" t="s">
        <v>51</v>
      </c>
      <c r="B8" s="37">
        <f t="shared" si="0"/>
        <v>4883.7920000000004</v>
      </c>
      <c r="C8" s="33"/>
      <c r="D8" s="37">
        <f>IF(ISERROR(TER_handel_gas_kWh/1000),0,TER_handel_gas_kWh/1000)*0.902</f>
        <v>3369.6050080000005</v>
      </c>
      <c r="E8" s="33">
        <f>$C$28*'E Balans VL '!I13/100/3.6*1000000</f>
        <v>24.707937632769784</v>
      </c>
      <c r="F8" s="33">
        <f>$C$28*('E Balans VL '!L13+'E Balans VL '!N13)/100/3.6*1000000</f>
        <v>742.05399718136243</v>
      </c>
      <c r="G8" s="34"/>
      <c r="H8" s="33"/>
      <c r="I8" s="33"/>
      <c r="J8" s="33">
        <f>$C$28*('E Balans VL '!D13+'E Balans VL '!E13)/100/3.6*1000000</f>
        <v>0</v>
      </c>
      <c r="K8" s="33"/>
      <c r="L8" s="33"/>
      <c r="M8" s="33"/>
      <c r="N8" s="33">
        <f>$C$28*'E Balans VL '!Y13/100/3.6*1000000</f>
        <v>2.2837918748064094</v>
      </c>
      <c r="O8" s="33"/>
      <c r="P8" s="33"/>
      <c r="R8" s="32"/>
    </row>
    <row r="9" spans="1:18">
      <c r="A9" s="32" t="s">
        <v>50</v>
      </c>
      <c r="B9" s="37">
        <f t="shared" si="0"/>
        <v>254.09</v>
      </c>
      <c r="C9" s="33"/>
      <c r="D9" s="37">
        <f>IF(ISERROR(TER_gezond_gas_kWh/1000),0,TER_gezond_gas_kWh/1000)*0.902</f>
        <v>234.46948800000001</v>
      </c>
      <c r="E9" s="33">
        <f>$C$29*'E Balans VL '!I10/100/3.6*1000000</f>
        <v>9.2398725559650119E-2</v>
      </c>
      <c r="F9" s="33">
        <f>$C$29*('E Balans VL '!L10+'E Balans VL '!N10)/100/3.6*1000000</f>
        <v>54.901982940309153</v>
      </c>
      <c r="G9" s="34"/>
      <c r="H9" s="33"/>
      <c r="I9" s="33"/>
      <c r="J9" s="33">
        <f>$C$29*('E Balans VL '!D10+'E Balans VL '!E10)/100/3.6*1000000</f>
        <v>0</v>
      </c>
      <c r="K9" s="33"/>
      <c r="L9" s="33"/>
      <c r="M9" s="33"/>
      <c r="N9" s="33">
        <f>$C$29*'E Balans VL '!Y10/100/3.6*1000000</f>
        <v>1.9265799948198936</v>
      </c>
      <c r="O9" s="33"/>
      <c r="P9" s="33"/>
      <c r="R9" s="32"/>
    </row>
    <row r="10" spans="1:18">
      <c r="A10" s="32" t="s">
        <v>49</v>
      </c>
      <c r="B10" s="37">
        <f t="shared" si="0"/>
        <v>588.51800000000003</v>
      </c>
      <c r="C10" s="33"/>
      <c r="D10" s="37">
        <f>IF(ISERROR(TER_ander_gas_kWh/1000),0,TER_ander_gas_kWh/1000)*0.902</f>
        <v>170.57812200000001</v>
      </c>
      <c r="E10" s="33">
        <f>$C$30*'E Balans VL '!I14/100/3.6*1000000</f>
        <v>3.582690850021343</v>
      </c>
      <c r="F10" s="33">
        <f>$C$30*('E Balans VL '!L14+'E Balans VL '!N14)/100/3.6*1000000</f>
        <v>155.80980330944124</v>
      </c>
      <c r="G10" s="34"/>
      <c r="H10" s="33"/>
      <c r="I10" s="33"/>
      <c r="J10" s="33">
        <f>$C$30*('E Balans VL '!D14+'E Balans VL '!E14)/100/3.6*1000000</f>
        <v>0</v>
      </c>
      <c r="K10" s="33"/>
      <c r="L10" s="33"/>
      <c r="M10" s="33"/>
      <c r="N10" s="33">
        <f>$C$30*'E Balans VL '!Y14/100/3.6*1000000</f>
        <v>122.57303692797015</v>
      </c>
      <c r="O10" s="33"/>
      <c r="P10" s="33"/>
      <c r="R10" s="32"/>
    </row>
    <row r="11" spans="1:18">
      <c r="A11" s="32" t="s">
        <v>54</v>
      </c>
      <c r="B11" s="37">
        <f t="shared" si="0"/>
        <v>152.023</v>
      </c>
      <c r="C11" s="33"/>
      <c r="D11" s="37">
        <f>IF(ISERROR(TER_onderwijs_gas_kWh/1000),0,TER_onderwijs_gas_kWh/1000)*0.902</f>
        <v>0</v>
      </c>
      <c r="E11" s="33">
        <f>$C$31*'E Balans VL '!I11/100/3.6*1000000</f>
        <v>0.18867370514676782</v>
      </c>
      <c r="F11" s="33">
        <f>$C$31*('E Balans VL '!L11+'E Balans VL '!N11)/100/3.6*1000000</f>
        <v>179.16706491578665</v>
      </c>
      <c r="G11" s="34"/>
      <c r="H11" s="33"/>
      <c r="I11" s="33"/>
      <c r="J11" s="33">
        <f>$C$31*('E Balans VL '!D11+'E Balans VL '!E11)/100/3.6*1000000</f>
        <v>0</v>
      </c>
      <c r="K11" s="33"/>
      <c r="L11" s="33"/>
      <c r="M11" s="33"/>
      <c r="N11" s="33">
        <f>$C$31*'E Balans VL '!Y11/100/3.6*1000000</f>
        <v>0.72969620154694581</v>
      </c>
      <c r="O11" s="33"/>
      <c r="P11" s="33"/>
      <c r="R11" s="32"/>
    </row>
    <row r="12" spans="1:18">
      <c r="A12" s="32" t="s">
        <v>249</v>
      </c>
      <c r="B12" s="37">
        <f t="shared" si="0"/>
        <v>0</v>
      </c>
      <c r="C12" s="33"/>
      <c r="D12" s="37">
        <f>IF(ISERROR(TER_rest_gas_kWh/1000),0,TER_rest_gas_kWh/1000)*0.902</f>
        <v>67.134056000000001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8336.0259999999998</v>
      </c>
      <c r="C16" s="21">
        <f ca="1">C5+C13+C14</f>
        <v>0</v>
      </c>
      <c r="D16" s="21">
        <f t="shared" ref="D16:N16" ca="1" si="1">MAX((D5+D13+D14),0)</f>
        <v>5688.5856720000002</v>
      </c>
      <c r="E16" s="21">
        <f t="shared" si="1"/>
        <v>127.94379036691772</v>
      </c>
      <c r="F16" s="21">
        <f t="shared" ca="1" si="1"/>
        <v>1518.8859120049804</v>
      </c>
      <c r="G16" s="21">
        <f t="shared" si="1"/>
        <v>0</v>
      </c>
      <c r="H16" s="21">
        <f t="shared" si="1"/>
        <v>0</v>
      </c>
      <c r="I16" s="21">
        <f t="shared" si="1"/>
        <v>0</v>
      </c>
      <c r="J16" s="21">
        <f t="shared" si="1"/>
        <v>0</v>
      </c>
      <c r="K16" s="21">
        <f t="shared" si="1"/>
        <v>0</v>
      </c>
      <c r="L16" s="21">
        <f t="shared" ca="1" si="1"/>
        <v>0</v>
      </c>
      <c r="M16" s="21">
        <f t="shared" si="1"/>
        <v>0</v>
      </c>
      <c r="N16" s="21">
        <f t="shared" ca="1" si="1"/>
        <v>154.44657651148214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0.20581296013124972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1715.662186791061</v>
      </c>
      <c r="C20" s="23">
        <f t="shared" ref="C20:P20" ca="1" si="2">C16*C18</f>
        <v>0</v>
      </c>
      <c r="D20" s="23">
        <f t="shared" ca="1" si="2"/>
        <v>1149.0943057440002</v>
      </c>
      <c r="E20" s="23">
        <f t="shared" si="2"/>
        <v>29.043240413290324</v>
      </c>
      <c r="F20" s="23">
        <f t="shared" ca="1" si="2"/>
        <v>405.54253850532979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1747.171</v>
      </c>
      <c r="C26" s="39">
        <f>IF(ISERROR(B26*3.6/1000000/'E Balans VL '!Z12*100),0,B26*3.6/1000000/'E Balans VL '!Z12*100)</f>
        <v>3.6333653890903463E-2</v>
      </c>
      <c r="D26" s="233" t="s">
        <v>676</v>
      </c>
      <c r="F26" s="6"/>
    </row>
    <row r="27" spans="1:18">
      <c r="A27" s="228" t="s">
        <v>52</v>
      </c>
      <c r="B27" s="33">
        <f>IF(ISERROR(TER_horeca_ele_kWh/1000),0,TER_horeca_ele_kWh/1000)</f>
        <v>710.43200000000002</v>
      </c>
      <c r="C27" s="39">
        <f>IF(ISERROR(B27*3.6/1000000/'E Balans VL '!Z9*100),0,B27*3.6/1000000/'E Balans VL '!Z9*100)</f>
        <v>5.8433536157996319E-2</v>
      </c>
      <c r="D27" s="233" t="s">
        <v>676</v>
      </c>
      <c r="F27" s="6"/>
    </row>
    <row r="28" spans="1:18">
      <c r="A28" s="168" t="s">
        <v>51</v>
      </c>
      <c r="B28" s="33">
        <f>IF(ISERROR(TER_handel_ele_kWh/1000),0,TER_handel_ele_kWh/1000)</f>
        <v>4883.7920000000004</v>
      </c>
      <c r="C28" s="39">
        <f>IF(ISERROR(B28*3.6/1000000/'E Balans VL '!Z13*100),0,B28*3.6/1000000/'E Balans VL '!Z13*100)</f>
        <v>0.13518240780426416</v>
      </c>
      <c r="D28" s="233" t="s">
        <v>676</v>
      </c>
      <c r="F28" s="6"/>
    </row>
    <row r="29" spans="1:18">
      <c r="A29" s="228" t="s">
        <v>50</v>
      </c>
      <c r="B29" s="33">
        <f>IF(ISERROR(TER_gezond_ele_kWh/1000),0,TER_gezond_ele_kWh/1000)</f>
        <v>254.09</v>
      </c>
      <c r="C29" s="39">
        <f>IF(ISERROR(B29*3.6/1000000/'E Balans VL '!Z10*100),0,B29*3.6/1000000/'E Balans VL '!Z10*100)</f>
        <v>2.8977120219797238E-2</v>
      </c>
      <c r="D29" s="233" t="s">
        <v>676</v>
      </c>
      <c r="F29" s="6"/>
    </row>
    <row r="30" spans="1:18">
      <c r="A30" s="228" t="s">
        <v>49</v>
      </c>
      <c r="B30" s="33">
        <f>IF(ISERROR(TER_ander_ele_kWh/1000),0,TER_ander_ele_kWh/1000)</f>
        <v>588.51800000000003</v>
      </c>
      <c r="C30" s="39">
        <f>IF(ISERROR(B30*3.6/1000000/'E Balans VL '!Z14*100),0,B30*3.6/1000000/'E Balans VL '!Z14*100)</f>
        <v>4.5552889570154194E-2</v>
      </c>
      <c r="D30" s="233" t="s">
        <v>676</v>
      </c>
      <c r="F30" s="6"/>
    </row>
    <row r="31" spans="1:18">
      <c r="A31" s="228" t="s">
        <v>54</v>
      </c>
      <c r="B31" s="33">
        <f>IF(ISERROR(TER_onderwijs_ele_kWh/1000),0,TER_onderwijs_ele_kWh/1000)</f>
        <v>152.023</v>
      </c>
      <c r="C31" s="39">
        <f>IF(ISERROR(B31*3.6/1000000/'E Balans VL '!Z11*100),0,B31*3.6/1000000/'E Balans VL '!Z11*100)</f>
        <v>4.7367491174744945E-2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4299.5290000000005</v>
      </c>
      <c r="C5" s="17">
        <f>IF(ISERROR('Eigen informatie GS &amp; warmtenet'!B59),0,'Eigen informatie GS &amp; warmtenet'!B59)</f>
        <v>0</v>
      </c>
      <c r="D5" s="30">
        <f>SUM(D6:D15)</f>
        <v>1609.828264</v>
      </c>
      <c r="E5" s="17">
        <f>SUM(E6:E15)</f>
        <v>55.047484176213793</v>
      </c>
      <c r="F5" s="17">
        <f>SUM(F6:F15)</f>
        <v>921.04459384600966</v>
      </c>
      <c r="G5" s="18"/>
      <c r="H5" s="17"/>
      <c r="I5" s="17"/>
      <c r="J5" s="17">
        <f>SUM(J6:J15)</f>
        <v>23.524136652255308</v>
      </c>
      <c r="K5" s="17"/>
      <c r="L5" s="17"/>
      <c r="M5" s="17"/>
      <c r="N5" s="17">
        <f>SUM(N6:N15)</f>
        <v>73.208317643349005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425.767</v>
      </c>
      <c r="C8" s="33"/>
      <c r="D8" s="37">
        <f>IF( ISERROR(IND_metaal_Gas_kWH/1000),0,IND_metaal_Gas_kWH/1000)*0.902</f>
        <v>101.1142</v>
      </c>
      <c r="E8" s="33">
        <f>C30*'E Balans VL '!I18/100/3.6*1000000</f>
        <v>2.9917707677726484</v>
      </c>
      <c r="F8" s="33">
        <f>C30*'E Balans VL '!L18/100/3.6*1000000+C30*'E Balans VL '!N18/100/3.6*1000000</f>
        <v>46.746725617866261</v>
      </c>
      <c r="G8" s="34"/>
      <c r="H8" s="33"/>
      <c r="I8" s="33"/>
      <c r="J8" s="40">
        <f>C30*'E Balans VL '!D18/100/3.6*1000000+C30*'E Balans VL '!E18/100/3.6*1000000</f>
        <v>8.7844909046887629</v>
      </c>
      <c r="K8" s="33"/>
      <c r="L8" s="33"/>
      <c r="M8" s="33"/>
      <c r="N8" s="33">
        <f>C30*'E Balans VL '!Y18/100/3.6*1000000</f>
        <v>1.5958053797064495</v>
      </c>
      <c r="O8" s="33"/>
      <c r="P8" s="33"/>
      <c r="R8" s="32"/>
    </row>
    <row r="9" spans="1:18">
      <c r="A9" s="6" t="s">
        <v>32</v>
      </c>
      <c r="B9" s="37">
        <f t="shared" si="0"/>
        <v>442.18200000000002</v>
      </c>
      <c r="C9" s="33"/>
      <c r="D9" s="37">
        <f>IF( ISERROR(IND_andere_gas_kWh/1000),0,IND_andere_gas_kWh/1000)*0.902</f>
        <v>383.15336400000001</v>
      </c>
      <c r="E9" s="33">
        <f>C31*'E Balans VL '!I19/100/3.6*1000000</f>
        <v>7.4269883802452075</v>
      </c>
      <c r="F9" s="33">
        <f>C31*'E Balans VL '!L19/100/3.6*1000000+C31*'E Balans VL '!N19/100/3.6*1000000</f>
        <v>345.67270279376839</v>
      </c>
      <c r="G9" s="34"/>
      <c r="H9" s="33"/>
      <c r="I9" s="33"/>
      <c r="J9" s="40">
        <f>C31*'E Balans VL '!D19/100/3.6*1000000+C31*'E Balans VL '!E19/100/3.6*1000000</f>
        <v>3.9880913089284091E-2</v>
      </c>
      <c r="K9" s="33"/>
      <c r="L9" s="33"/>
      <c r="M9" s="33"/>
      <c r="N9" s="33">
        <f>C31*'E Balans VL '!Y19/100/3.6*1000000</f>
        <v>32.772780385637283</v>
      </c>
      <c r="O9" s="33"/>
      <c r="P9" s="33"/>
      <c r="R9" s="32"/>
    </row>
    <row r="10" spans="1:18">
      <c r="A10" s="6" t="s">
        <v>40</v>
      </c>
      <c r="B10" s="37">
        <f t="shared" si="0"/>
        <v>2568.8910000000001</v>
      </c>
      <c r="C10" s="33"/>
      <c r="D10" s="37">
        <f>IF( ISERROR(IND_voed_gas_kWh/1000),0,IND_voed_gas_kWh/1000)*0.902</f>
        <v>277.75917400000003</v>
      </c>
      <c r="E10" s="33">
        <f>C32*'E Balans VL '!I20/100/3.6*1000000</f>
        <v>23.437493981396273</v>
      </c>
      <c r="F10" s="33">
        <f>C32*'E Balans VL '!L20/100/3.6*1000000+C32*'E Balans VL '!N20/100/3.6*1000000</f>
        <v>414.44246850822213</v>
      </c>
      <c r="G10" s="34"/>
      <c r="H10" s="33"/>
      <c r="I10" s="33"/>
      <c r="J10" s="40">
        <f>C32*'E Balans VL '!D20/100/3.6*1000000+C32*'E Balans VL '!E20/100/3.6*1000000</f>
        <v>10.580377384465686</v>
      </c>
      <c r="K10" s="33"/>
      <c r="L10" s="33"/>
      <c r="M10" s="33"/>
      <c r="N10" s="33">
        <f>C32*'E Balans VL '!Y20/100/3.6*1000000</f>
        <v>37.580849702595103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642.25099999999998</v>
      </c>
      <c r="C12" s="33"/>
      <c r="D12" s="37">
        <f>IF( ISERROR(IND_min_gas_kWh/1000),0,IND_min_gas_kWh/1000)*0.902</f>
        <v>392.99328199999997</v>
      </c>
      <c r="E12" s="33">
        <f>C34*'E Balans VL '!I22/100/3.6*1000000</f>
        <v>15.929912789031981</v>
      </c>
      <c r="F12" s="33">
        <f>C34*'E Balans VL '!L22/100/3.6*1000000+C34*'E Balans VL '!N22/100/3.6*1000000</f>
        <v>68.245318300923202</v>
      </c>
      <c r="G12" s="34"/>
      <c r="H12" s="33"/>
      <c r="I12" s="33"/>
      <c r="J12" s="40">
        <f>C34*'E Balans VL '!D22/100/3.6*1000000+C34*'E Balans VL '!E22/100/3.6*1000000</f>
        <v>3.6483625286110906</v>
      </c>
      <c r="K12" s="33"/>
      <c r="L12" s="33"/>
      <c r="M12" s="33"/>
      <c r="N12" s="33">
        <f>C34*'E Balans VL '!Y22/100/3.6*1000000</f>
        <v>0</v>
      </c>
      <c r="O12" s="33"/>
      <c r="P12" s="33"/>
      <c r="R12" s="32"/>
    </row>
    <row r="13" spans="1:18">
      <c r="A13" s="6" t="s">
        <v>38</v>
      </c>
      <c r="B13" s="37">
        <f t="shared" si="0"/>
        <v>150.48400000000001</v>
      </c>
      <c r="C13" s="33"/>
      <c r="D13" s="37">
        <f>IF( ISERROR(IND_papier_gas_kWh/1000),0,IND_papier_gas_kWh/1000)*0.902</f>
        <v>161.29022799999998</v>
      </c>
      <c r="E13" s="33">
        <f>C35*'E Balans VL '!I23/100/3.6*1000000</f>
        <v>4.6299999517373633</v>
      </c>
      <c r="F13" s="33">
        <f>C35*'E Balans VL '!L23/100/3.6*1000000+C35*'E Balans VL '!N23/100/3.6*1000000</f>
        <v>31.953012305079525</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69.953999999999994</v>
      </c>
      <c r="C15" s="33"/>
      <c r="D15" s="37">
        <f>IF( ISERROR(IND_rest_gas_kWh/1000),0,IND_rest_gas_kWh/1000)*0.902</f>
        <v>293.51801600000005</v>
      </c>
      <c r="E15" s="33">
        <f>C37*'E Balans VL '!I15/100/3.6*1000000</f>
        <v>0.63131830603032202</v>
      </c>
      <c r="F15" s="33">
        <f>C37*'E Balans VL '!L15/100/3.6*1000000+C37*'E Balans VL '!N15/100/3.6*1000000</f>
        <v>13.984366320150137</v>
      </c>
      <c r="G15" s="34"/>
      <c r="H15" s="33"/>
      <c r="I15" s="33"/>
      <c r="J15" s="40">
        <f>C37*'E Balans VL '!D15/100/3.6*1000000+C37*'E Balans VL '!E15/100/3.6*1000000</f>
        <v>0.47102492140048163</v>
      </c>
      <c r="K15" s="33"/>
      <c r="L15" s="33"/>
      <c r="M15" s="33"/>
      <c r="N15" s="33">
        <f>C37*'E Balans VL '!Y15/100/3.6*1000000</f>
        <v>1.2588821754101804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4299.5290000000005</v>
      </c>
      <c r="C18" s="21">
        <f>C5+C16</f>
        <v>0</v>
      </c>
      <c r="D18" s="21">
        <f>MAX((D5+D16),0)</f>
        <v>1609.828264</v>
      </c>
      <c r="E18" s="21">
        <f>MAX((E5+E16),0)</f>
        <v>55.047484176213793</v>
      </c>
      <c r="F18" s="21">
        <f>MAX((F5+F16),0)</f>
        <v>921.04459384600966</v>
      </c>
      <c r="G18" s="21"/>
      <c r="H18" s="21"/>
      <c r="I18" s="21"/>
      <c r="J18" s="21">
        <f>MAX((J5+J16),0)</f>
        <v>23.524136652255308</v>
      </c>
      <c r="K18" s="21"/>
      <c r="L18" s="21">
        <f>MAX((L5+L16),0)</f>
        <v>0</v>
      </c>
      <c r="M18" s="21"/>
      <c r="N18" s="21">
        <f>MAX((N5+N16),0)</f>
        <v>73.208317643349005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0.20581296013124972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884.89879066015203</v>
      </c>
      <c r="C22" s="23">
        <f ca="1">C18*C20</f>
        <v>0</v>
      </c>
      <c r="D22" s="23">
        <f>D18*D20</f>
        <v>325.18530932800002</v>
      </c>
      <c r="E22" s="23">
        <f>E18*E20</f>
        <v>12.495778908000531</v>
      </c>
      <c r="F22" s="23">
        <f>F18*F20</f>
        <v>245.91890655688459</v>
      </c>
      <c r="G22" s="23"/>
      <c r="H22" s="23"/>
      <c r="I22" s="23"/>
      <c r="J22" s="23">
        <f>J18*J20</f>
        <v>8.3275443748983786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425.767</v>
      </c>
      <c r="C30" s="39">
        <f>IF(ISERROR(B30*3.6/1000000/'E Balans VL '!Z18*100),0,B30*3.6/1000000/'E Balans VL '!Z18*100)</f>
        <v>2.834356918511733E-2</v>
      </c>
      <c r="D30" s="233" t="s">
        <v>676</v>
      </c>
    </row>
    <row r="31" spans="1:18">
      <c r="A31" s="6" t="s">
        <v>32</v>
      </c>
      <c r="B31" s="37">
        <f>IF( ISERROR(IND_ander_ele_kWh/1000),0,IND_ander_ele_kWh/1000)</f>
        <v>442.18200000000002</v>
      </c>
      <c r="C31" s="39">
        <f>IF(ISERROR(B31*3.6/1000000/'E Balans VL '!Z19*100),0,B31*3.6/1000000/'E Balans VL '!Z19*100)</f>
        <v>1.9600175716235183E-2</v>
      </c>
      <c r="D31" s="233" t="s">
        <v>676</v>
      </c>
    </row>
    <row r="32" spans="1:18">
      <c r="A32" s="168" t="s">
        <v>40</v>
      </c>
      <c r="B32" s="37">
        <f>IF( ISERROR(IND_voed_ele_kWh/1000),0,IND_voed_ele_kWh/1000)</f>
        <v>2568.8910000000001</v>
      </c>
      <c r="C32" s="39">
        <f>IF(ISERROR(B32*3.6/1000000/'E Balans VL '!Z20*100),0,B32*3.6/1000000/'E Balans VL '!Z20*100)</f>
        <v>8.580832859451884E-2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642.25099999999998</v>
      </c>
      <c r="C34" s="39">
        <f>IF(ISERROR(B34*3.6/1000000/'E Balans VL '!Z22*100),0,B34*3.6/1000000/'E Balans VL '!Z22*100)</f>
        <v>0.12491076477377989</v>
      </c>
      <c r="D34" s="233" t="s">
        <v>676</v>
      </c>
    </row>
    <row r="35" spans="1:5">
      <c r="A35" s="168" t="s">
        <v>38</v>
      </c>
      <c r="B35" s="37">
        <f>IF( ISERROR(IND_papier_ele_kWh/1000),0,IND_papier_ele_kWh/1000)</f>
        <v>150.48400000000001</v>
      </c>
      <c r="C35" s="39">
        <f>IF(ISERROR(B35*3.6/1000000/'E Balans VL '!Z22*100),0,B35*3.6/1000000/'E Balans VL '!Z22*100)</f>
        <v>2.9267485027220663E-2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69.953999999999994</v>
      </c>
      <c r="C37" s="39">
        <f>IF(ISERROR(B37*3.6/1000000/'E Balans VL '!Z15*100),0,B37*3.6/1000000/'E Balans VL '!Z15*100)</f>
        <v>5.2034379518553573E-4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973.36199999999997</v>
      </c>
      <c r="C5" s="17">
        <f>'Eigen informatie GS &amp; warmtenet'!B60</f>
        <v>0</v>
      </c>
      <c r="D5" s="30">
        <f>IF(ISERROR(SUM(LB_lb_gas_kWh,LB_rest_gas_kWh)/1000),0,SUM(LB_lb_gas_kWh,LB_rest_gas_kWh)/1000)*0.902</f>
        <v>374.711546</v>
      </c>
      <c r="E5" s="17">
        <f>B17*'E Balans VL '!I25/3.6*1000000/100</f>
        <v>8.7712267075198778</v>
      </c>
      <c r="F5" s="17">
        <f>B17*('E Balans VL '!L25/3.6*1000000+'E Balans VL '!N25/3.6*1000000)/100</f>
        <v>3647.2171005579671</v>
      </c>
      <c r="G5" s="18"/>
      <c r="H5" s="17"/>
      <c r="I5" s="17"/>
      <c r="J5" s="17">
        <f>('E Balans VL '!D25+'E Balans VL '!E25)/3.6*1000000*landbouw!B17/100</f>
        <v>98.500208687179068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973.36199999999997</v>
      </c>
      <c r="C8" s="21">
        <f>C5+C6</f>
        <v>0</v>
      </c>
      <c r="D8" s="21">
        <f>MAX((D5+D6),0)</f>
        <v>374.711546</v>
      </c>
      <c r="E8" s="21">
        <f>MAX((E5+E6),0)</f>
        <v>8.7712267075198778</v>
      </c>
      <c r="F8" s="21">
        <f>MAX((F5+F6),0)</f>
        <v>3647.2171005579671</v>
      </c>
      <c r="G8" s="21"/>
      <c r="H8" s="21"/>
      <c r="I8" s="21"/>
      <c r="J8" s="21">
        <f>MAX((J5+J6),0)</f>
        <v>98.500208687179068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0.20581296013124972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200.33051449927348</v>
      </c>
      <c r="C12" s="23">
        <f ca="1">C8*C10</f>
        <v>0</v>
      </c>
      <c r="D12" s="23">
        <f>D8*D10</f>
        <v>75.691732291999998</v>
      </c>
      <c r="E12" s="23">
        <f>E8*E10</f>
        <v>1.9910684626070123</v>
      </c>
      <c r="F12" s="23">
        <f>F8*F10</f>
        <v>973.80696584897726</v>
      </c>
      <c r="G12" s="23"/>
      <c r="H12" s="23"/>
      <c r="I12" s="23"/>
      <c r="J12" s="23">
        <f>J8*J10</f>
        <v>34.869073875261385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0.14981920115884417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83.639399349515926</v>
      </c>
      <c r="C26" s="243">
        <f>B26*'GWP N2O_CH4'!B5</f>
        <v>1756.4273863398344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54.860906196099542</v>
      </c>
      <c r="C27" s="243">
        <f>B27*'GWP N2O_CH4'!B5</f>
        <v>1152.0790301180905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1.4668163637887017</v>
      </c>
      <c r="C28" s="243">
        <f>B28*'GWP N2O_CH4'!B4</f>
        <v>454.71307277449756</v>
      </c>
      <c r="D28" s="50"/>
    </row>
    <row r="29" spans="1:4">
      <c r="A29" s="41" t="s">
        <v>266</v>
      </c>
      <c r="B29" s="243">
        <f>B34*'ha_N2O bodem landbouw'!B4</f>
        <v>9.3978546992289029</v>
      </c>
      <c r="C29" s="243">
        <f>B29*'GWP N2O_CH4'!B4</f>
        <v>2913.3349567609598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2.4399745445678228E-3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3.7639991834104434E-6</v>
      </c>
      <c r="C5" s="431" t="s">
        <v>204</v>
      </c>
      <c r="D5" s="416">
        <f>SUM(D6:D11)</f>
        <v>1.2579980739256299E-5</v>
      </c>
      <c r="E5" s="416">
        <f>SUM(E6:E11)</f>
        <v>1.4554288661363158E-3</v>
      </c>
      <c r="F5" s="429" t="s">
        <v>204</v>
      </c>
      <c r="G5" s="416">
        <f>SUM(G6:G11)</f>
        <v>0.27104257836785939</v>
      </c>
      <c r="H5" s="416">
        <f>SUM(H6:H11)</f>
        <v>4.4736021880491424E-2</v>
      </c>
      <c r="I5" s="431" t="s">
        <v>204</v>
      </c>
      <c r="J5" s="431" t="s">
        <v>204</v>
      </c>
      <c r="K5" s="431" t="s">
        <v>204</v>
      </c>
      <c r="L5" s="431" t="s">
        <v>204</v>
      </c>
      <c r="M5" s="416">
        <f>SUM(M6:M11)</f>
        <v>1.3735269318418588E-2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7.249579475510292E-7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2.2883129895829829E-6</v>
      </c>
      <c r="E6" s="419">
        <f>vkm_GW_PW*SUMIFS(TableVerdeelsleutelVkm[LPG],TableVerdeelsleutelVkm[Voertuigtype],"Lichte voertuigen")*SUMIFS(TableECFTransport[EnergieConsumptieFactor (PJ per km)],TableECFTransport[Index],CONCATENATE($A6,"_LPG_LPG"))</f>
        <v>2.3766066876155389E-4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3.1723538468178117E-2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7.9675857873916824E-3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1.7333326667342073E-3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5.2345069683867189E-9</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2.3595876426930999E-3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6.9429340892616669E-8</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1.0165227199546734E-4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6.441499252331445E-7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3.4485505103249893E-6</v>
      </c>
      <c r="E8" s="419">
        <f>vkm_NGW_PW*SUMIFS(TableVerdeelsleutelVkm[LPG],TableVerdeelsleutelVkm[Voertuigtype],"Lichte voertuigen")*SUMIFS(TableECFTransport[EnergieConsumptieFactor (PJ per km)],TableECFTransport[Index],CONCATENATE($A8,"_LPG_LPG"))</f>
        <v>3.3709630066402617E-4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4.2804440462129299E-2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1.1340464643798592E-2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2.3659258264379394E-3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1.7208535291991457E-10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1.0744921671051486E-4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2.7550381255584456E-9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4.6289498426872504E-6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2.19439259077432E-6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6.8431172393483263E-6</v>
      </c>
      <c r="E10" s="419">
        <f>vkm_SW_PW*SUMIFS(TableVerdeelsleutelVkm[LPG],TableVerdeelsleutelVkm[Voertuigtype],"Lichte voertuigen")*SUMIFS(TableECFTransport[EnergieConsumptieFactor (PJ per km)],TableECFTransport[Index],CONCATENATE($A10,"_LPG_LPG"))</f>
        <v>8.8067189671073591E-4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0.10919013406506954</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2.542523585848935E-2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5.8740194558659807E-3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1.9509212753064337E-7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8.4857428513078814E-2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2.6634064327865237E-6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3.6557101475423064E-3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1.0455553287251231</v>
      </c>
      <c r="C14" s="21"/>
      <c r="D14" s="21">
        <f t="shared" ref="D14:M14" si="0">((D5)*10^9/3600)+D12</f>
        <v>3.4944390942378609</v>
      </c>
      <c r="E14" s="21">
        <f t="shared" si="0"/>
        <v>404.2857961489766</v>
      </c>
      <c r="F14" s="21"/>
      <c r="G14" s="21">
        <f t="shared" si="0"/>
        <v>75289.605102183152</v>
      </c>
      <c r="H14" s="21">
        <f t="shared" si="0"/>
        <v>12426.67274458095</v>
      </c>
      <c r="I14" s="21"/>
      <c r="J14" s="21"/>
      <c r="K14" s="21"/>
      <c r="L14" s="21"/>
      <c r="M14" s="21">
        <f t="shared" si="0"/>
        <v>3815.352588449608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0.20581296013124972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0.21518883718591947</v>
      </c>
      <c r="C18" s="23"/>
      <c r="D18" s="23">
        <f t="shared" ref="D18:M18" si="1">D14*D16</f>
        <v>0.70587669703604794</v>
      </c>
      <c r="E18" s="23">
        <f t="shared" si="1"/>
        <v>91.772875725817698</v>
      </c>
      <c r="F18" s="23"/>
      <c r="G18" s="23">
        <f t="shared" si="1"/>
        <v>20102.324562282902</v>
      </c>
      <c r="H18" s="23">
        <f t="shared" si="1"/>
        <v>3094.2415134006565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9.1508650141303442E-6</v>
      </c>
      <c r="C50" s="313">
        <f t="shared" ref="C50:P50" si="2">SUM(C51:C52)</f>
        <v>0</v>
      </c>
      <c r="D50" s="313">
        <f t="shared" si="2"/>
        <v>0</v>
      </c>
      <c r="E50" s="313">
        <f t="shared" si="2"/>
        <v>0</v>
      </c>
      <c r="F50" s="313">
        <f t="shared" si="2"/>
        <v>0</v>
      </c>
      <c r="G50" s="313">
        <f t="shared" si="2"/>
        <v>1.9851882914270172E-3</v>
      </c>
      <c r="H50" s="313">
        <f t="shared" si="2"/>
        <v>0</v>
      </c>
      <c r="I50" s="313">
        <f t="shared" si="2"/>
        <v>0</v>
      </c>
      <c r="J50" s="313">
        <f t="shared" si="2"/>
        <v>0</v>
      </c>
      <c r="K50" s="313">
        <f t="shared" si="2"/>
        <v>0</v>
      </c>
      <c r="L50" s="313">
        <f t="shared" si="2"/>
        <v>0</v>
      </c>
      <c r="M50" s="313">
        <f t="shared" si="2"/>
        <v>8.4998137036310578E-5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9.1508650141303442E-6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1.9851882914270172E-3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8.4998137036310578E-5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2.5419069483695402</v>
      </c>
      <c r="C54" s="21">
        <f t="shared" ref="C54:P54" si="3">(C50)*10^9/3600</f>
        <v>0</v>
      </c>
      <c r="D54" s="21">
        <f t="shared" si="3"/>
        <v>0</v>
      </c>
      <c r="E54" s="21">
        <f t="shared" si="3"/>
        <v>0</v>
      </c>
      <c r="F54" s="21">
        <f t="shared" si="3"/>
        <v>0</v>
      </c>
      <c r="G54" s="21">
        <f t="shared" si="3"/>
        <v>551.44119206306038</v>
      </c>
      <c r="H54" s="21">
        <f t="shared" si="3"/>
        <v>0</v>
      </c>
      <c r="I54" s="21">
        <f t="shared" si="3"/>
        <v>0</v>
      </c>
      <c r="J54" s="21">
        <f t="shared" si="3"/>
        <v>0</v>
      </c>
      <c r="K54" s="21">
        <f t="shared" si="3"/>
        <v>0</v>
      </c>
      <c r="L54" s="21">
        <f t="shared" si="3"/>
        <v>0</v>
      </c>
      <c r="M54" s="21">
        <f t="shared" si="3"/>
        <v>23.610593621197385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0.20581296013124972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0.52315739342212686</v>
      </c>
      <c r="C58" s="23">
        <f t="shared" ref="C58:P58" ca="1" si="4">C54*C56</f>
        <v>0</v>
      </c>
      <c r="D58" s="23">
        <f t="shared" si="4"/>
        <v>0</v>
      </c>
      <c r="E58" s="23">
        <f t="shared" si="4"/>
        <v>0</v>
      </c>
      <c r="F58" s="23">
        <f t="shared" si="4"/>
        <v>0</v>
      </c>
      <c r="G58" s="23">
        <f t="shared" si="4"/>
        <v>147.23479828083714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2226.0084558219182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2226.0084558219182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8936.4179999999997</v>
      </c>
      <c r="D10" s="635">
        <f ca="1">tertiair!C16</f>
        <v>0</v>
      </c>
      <c r="E10" s="635">
        <f ca="1">tertiair!D16</f>
        <v>5688.5856720000002</v>
      </c>
      <c r="F10" s="635">
        <f>tertiair!E16</f>
        <v>127.94379036691772</v>
      </c>
      <c r="G10" s="635">
        <f ca="1">tertiair!F16</f>
        <v>1518.8859120049804</v>
      </c>
      <c r="H10" s="635">
        <f>tertiair!G16</f>
        <v>0</v>
      </c>
      <c r="I10" s="635">
        <f>tertiair!H16</f>
        <v>0</v>
      </c>
      <c r="J10" s="635">
        <f>tertiair!I16</f>
        <v>0</v>
      </c>
      <c r="K10" s="635">
        <f>tertiair!J16</f>
        <v>0</v>
      </c>
      <c r="L10" s="635">
        <f>tertiair!K16</f>
        <v>0</v>
      </c>
      <c r="M10" s="635">
        <f ca="1">tertiair!L16</f>
        <v>0</v>
      </c>
      <c r="N10" s="635">
        <f>tertiair!M16</f>
        <v>0</v>
      </c>
      <c r="O10" s="635">
        <f ca="1">tertiair!N16</f>
        <v>154.44657651148214</v>
      </c>
      <c r="P10" s="635">
        <f>tertiair!O16</f>
        <v>0</v>
      </c>
      <c r="Q10" s="636">
        <f>tertiair!P16</f>
        <v>19.066666666666666</v>
      </c>
      <c r="R10" s="638">
        <f ca="1">SUM(C10:Q10)</f>
        <v>16445.346617550047</v>
      </c>
      <c r="S10" s="67"/>
    </row>
    <row r="11" spans="1:19" s="441" customFormat="1">
      <c r="A11" s="749" t="s">
        <v>214</v>
      </c>
      <c r="B11" s="754"/>
      <c r="C11" s="635">
        <f>huishoudens!B8</f>
        <v>17480.970144408908</v>
      </c>
      <c r="D11" s="635">
        <f>huishoudens!C8</f>
        <v>0</v>
      </c>
      <c r="E11" s="635">
        <f>huishoudens!D8</f>
        <v>18278.315616</v>
      </c>
      <c r="F11" s="635">
        <f>huishoudens!E8</f>
        <v>1287.3161323576826</v>
      </c>
      <c r="G11" s="635">
        <f>huishoudens!F8</f>
        <v>43941.758177561009</v>
      </c>
      <c r="H11" s="635">
        <f>huishoudens!G8</f>
        <v>0</v>
      </c>
      <c r="I11" s="635">
        <f>huishoudens!H8</f>
        <v>0</v>
      </c>
      <c r="J11" s="635">
        <f>huishoudens!I8</f>
        <v>0</v>
      </c>
      <c r="K11" s="635">
        <f>huishoudens!J8</f>
        <v>989.4569891823686</v>
      </c>
      <c r="L11" s="635">
        <f>huishoudens!K8</f>
        <v>0</v>
      </c>
      <c r="M11" s="635">
        <f>huishoudens!L8</f>
        <v>0</v>
      </c>
      <c r="N11" s="635">
        <f>huishoudens!M8</f>
        <v>0</v>
      </c>
      <c r="O11" s="635">
        <f>huishoudens!N8</f>
        <v>4983.9593223839938</v>
      </c>
      <c r="P11" s="635">
        <f>huishoudens!O8</f>
        <v>46.9</v>
      </c>
      <c r="Q11" s="636">
        <f>huishoudens!P8</f>
        <v>152.53333333333333</v>
      </c>
      <c r="R11" s="638">
        <f>SUM(C11:Q11)</f>
        <v>87161.209715227291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4299.5290000000005</v>
      </c>
      <c r="D13" s="635">
        <f>industrie!C18</f>
        <v>0</v>
      </c>
      <c r="E13" s="635">
        <f>industrie!D18</f>
        <v>1609.828264</v>
      </c>
      <c r="F13" s="635">
        <f>industrie!E18</f>
        <v>55.047484176213793</v>
      </c>
      <c r="G13" s="635">
        <f>industrie!F18</f>
        <v>921.04459384600966</v>
      </c>
      <c r="H13" s="635">
        <f>industrie!G18</f>
        <v>0</v>
      </c>
      <c r="I13" s="635">
        <f>industrie!H18</f>
        <v>0</v>
      </c>
      <c r="J13" s="635">
        <f>industrie!I18</f>
        <v>0</v>
      </c>
      <c r="K13" s="635">
        <f>industrie!J18</f>
        <v>23.524136652255308</v>
      </c>
      <c r="L13" s="635">
        <f>industrie!K18</f>
        <v>0</v>
      </c>
      <c r="M13" s="635">
        <f>industrie!L18</f>
        <v>0</v>
      </c>
      <c r="N13" s="635">
        <f>industrie!M18</f>
        <v>0</v>
      </c>
      <c r="O13" s="635">
        <f>industrie!N18</f>
        <v>73.208317643349005</v>
      </c>
      <c r="P13" s="635">
        <f>industrie!O18</f>
        <v>0</v>
      </c>
      <c r="Q13" s="636">
        <f>industrie!P18</f>
        <v>0</v>
      </c>
      <c r="R13" s="638">
        <f>SUM(C13:Q13)</f>
        <v>6982.1817963178273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30716.917144408908</v>
      </c>
      <c r="D16" s="668">
        <f t="shared" ref="D16:R16" ca="1" si="0">SUM(D9:D15)</f>
        <v>0</v>
      </c>
      <c r="E16" s="668">
        <f t="shared" ca="1" si="0"/>
        <v>25576.729552000001</v>
      </c>
      <c r="F16" s="668">
        <f t="shared" si="0"/>
        <v>1470.3074069008142</v>
      </c>
      <c r="G16" s="668">
        <f t="shared" ca="1" si="0"/>
        <v>46381.688683412001</v>
      </c>
      <c r="H16" s="668">
        <f t="shared" si="0"/>
        <v>0</v>
      </c>
      <c r="I16" s="668">
        <f t="shared" si="0"/>
        <v>0</v>
      </c>
      <c r="J16" s="668">
        <f t="shared" si="0"/>
        <v>0</v>
      </c>
      <c r="K16" s="668">
        <f t="shared" si="0"/>
        <v>1012.9811258346239</v>
      </c>
      <c r="L16" s="668">
        <f t="shared" si="0"/>
        <v>0</v>
      </c>
      <c r="M16" s="668">
        <f t="shared" ca="1" si="0"/>
        <v>0</v>
      </c>
      <c r="N16" s="668">
        <f t="shared" si="0"/>
        <v>0</v>
      </c>
      <c r="O16" s="668">
        <f t="shared" ca="1" si="0"/>
        <v>5211.6142165388246</v>
      </c>
      <c r="P16" s="668">
        <f t="shared" si="0"/>
        <v>46.9</v>
      </c>
      <c r="Q16" s="668">
        <f t="shared" si="0"/>
        <v>171.6</v>
      </c>
      <c r="R16" s="668">
        <f t="shared" ca="1" si="0"/>
        <v>110588.73812909517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2.5419069483695402</v>
      </c>
      <c r="D19" s="635">
        <f>transport!C54</f>
        <v>0</v>
      </c>
      <c r="E19" s="635">
        <f>transport!D54</f>
        <v>0</v>
      </c>
      <c r="F19" s="635">
        <f>transport!E54</f>
        <v>0</v>
      </c>
      <c r="G19" s="635">
        <f>transport!F54</f>
        <v>0</v>
      </c>
      <c r="H19" s="635">
        <f>transport!G54</f>
        <v>551.44119206306038</v>
      </c>
      <c r="I19" s="635">
        <f>transport!H54</f>
        <v>0</v>
      </c>
      <c r="J19" s="635">
        <f>transport!I54</f>
        <v>0</v>
      </c>
      <c r="K19" s="635">
        <f>transport!J54</f>
        <v>0</v>
      </c>
      <c r="L19" s="635">
        <f>transport!K54</f>
        <v>0</v>
      </c>
      <c r="M19" s="635">
        <f>transport!L54</f>
        <v>0</v>
      </c>
      <c r="N19" s="635">
        <f>transport!M54</f>
        <v>23.610593621197385</v>
      </c>
      <c r="O19" s="635">
        <f>transport!N54</f>
        <v>0</v>
      </c>
      <c r="P19" s="635">
        <f>transport!O54</f>
        <v>0</v>
      </c>
      <c r="Q19" s="636">
        <f>transport!P54</f>
        <v>0</v>
      </c>
      <c r="R19" s="638">
        <f>SUM(C19:Q19)</f>
        <v>577.59369263262727</v>
      </c>
      <c r="S19" s="67"/>
    </row>
    <row r="20" spans="1:19" s="441" customFormat="1">
      <c r="A20" s="749" t="s">
        <v>296</v>
      </c>
      <c r="B20" s="754"/>
      <c r="C20" s="635">
        <f>transport!B14</f>
        <v>1.0455553287251231</v>
      </c>
      <c r="D20" s="635">
        <f>transport!C14</f>
        <v>0</v>
      </c>
      <c r="E20" s="635">
        <f>transport!D14</f>
        <v>3.4944390942378609</v>
      </c>
      <c r="F20" s="635">
        <f>transport!E14</f>
        <v>404.2857961489766</v>
      </c>
      <c r="G20" s="635">
        <f>transport!F14</f>
        <v>0</v>
      </c>
      <c r="H20" s="635">
        <f>transport!G14</f>
        <v>75289.605102183152</v>
      </c>
      <c r="I20" s="635">
        <f>transport!H14</f>
        <v>12426.67274458095</v>
      </c>
      <c r="J20" s="635">
        <f>transport!I14</f>
        <v>0</v>
      </c>
      <c r="K20" s="635">
        <f>transport!J14</f>
        <v>0</v>
      </c>
      <c r="L20" s="635">
        <f>transport!K14</f>
        <v>0</v>
      </c>
      <c r="M20" s="635">
        <f>transport!L14</f>
        <v>0</v>
      </c>
      <c r="N20" s="635">
        <f>transport!M14</f>
        <v>3815.352588449608</v>
      </c>
      <c r="O20" s="635">
        <f>transport!N14</f>
        <v>0</v>
      </c>
      <c r="P20" s="635">
        <f>transport!O14</f>
        <v>0</v>
      </c>
      <c r="Q20" s="636">
        <f>transport!P14</f>
        <v>0</v>
      </c>
      <c r="R20" s="638">
        <f>SUM(C20:Q20)</f>
        <v>91940.456225785645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3.5874622770946631</v>
      </c>
      <c r="D22" s="752">
        <f t="shared" ref="D22:R22" si="1">SUM(D18:D21)</f>
        <v>0</v>
      </c>
      <c r="E22" s="752">
        <f t="shared" si="1"/>
        <v>3.4944390942378609</v>
      </c>
      <c r="F22" s="752">
        <f t="shared" si="1"/>
        <v>404.2857961489766</v>
      </c>
      <c r="G22" s="752">
        <f t="shared" si="1"/>
        <v>0</v>
      </c>
      <c r="H22" s="752">
        <f t="shared" si="1"/>
        <v>75841.046294246218</v>
      </c>
      <c r="I22" s="752">
        <f t="shared" si="1"/>
        <v>12426.67274458095</v>
      </c>
      <c r="J22" s="752">
        <f t="shared" si="1"/>
        <v>0</v>
      </c>
      <c r="K22" s="752">
        <f t="shared" si="1"/>
        <v>0</v>
      </c>
      <c r="L22" s="752">
        <f t="shared" si="1"/>
        <v>0</v>
      </c>
      <c r="M22" s="752">
        <f t="shared" si="1"/>
        <v>0</v>
      </c>
      <c r="N22" s="752">
        <f t="shared" si="1"/>
        <v>3838.9631820708055</v>
      </c>
      <c r="O22" s="752">
        <f t="shared" si="1"/>
        <v>0</v>
      </c>
      <c r="P22" s="752">
        <f t="shared" si="1"/>
        <v>0</v>
      </c>
      <c r="Q22" s="752">
        <f t="shared" si="1"/>
        <v>0</v>
      </c>
      <c r="R22" s="752">
        <f t="shared" si="1"/>
        <v>92518.04991841827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973.36199999999997</v>
      </c>
      <c r="D24" s="635">
        <f>+landbouw!C8</f>
        <v>0</v>
      </c>
      <c r="E24" s="635">
        <f>+landbouw!D8</f>
        <v>374.711546</v>
      </c>
      <c r="F24" s="635">
        <f>+landbouw!E8</f>
        <v>8.7712267075198778</v>
      </c>
      <c r="G24" s="635">
        <f>+landbouw!F8</f>
        <v>3647.2171005579671</v>
      </c>
      <c r="H24" s="635">
        <f>+landbouw!G8</f>
        <v>0</v>
      </c>
      <c r="I24" s="635">
        <f>+landbouw!H8</f>
        <v>0</v>
      </c>
      <c r="J24" s="635">
        <f>+landbouw!I8</f>
        <v>0</v>
      </c>
      <c r="K24" s="635">
        <f>+landbouw!J8</f>
        <v>98.500208687179068</v>
      </c>
      <c r="L24" s="635">
        <f>+landbouw!K8</f>
        <v>0</v>
      </c>
      <c r="M24" s="635">
        <f>+landbouw!L8</f>
        <v>0</v>
      </c>
      <c r="N24" s="635">
        <f>+landbouw!M8</f>
        <v>0</v>
      </c>
      <c r="O24" s="635">
        <f>+landbouw!N8</f>
        <v>0</v>
      </c>
      <c r="P24" s="635">
        <f>+landbouw!O8</f>
        <v>0</v>
      </c>
      <c r="Q24" s="636">
        <f>+landbouw!P8</f>
        <v>0</v>
      </c>
      <c r="R24" s="638">
        <f>SUM(C24:Q24)</f>
        <v>5102.5620819526666</v>
      </c>
      <c r="S24" s="67"/>
    </row>
    <row r="25" spans="1:19" s="441" customFormat="1" ht="15" thickBot="1">
      <c r="A25" s="771" t="s">
        <v>864</v>
      </c>
      <c r="B25" s="923"/>
      <c r="C25" s="924">
        <f>IF(Onbekend_ele_kWh="---",0,Onbekend_ele_kWh)/1000+IF(REST_rest_ele_kWh="---",0,REST_rest_ele_kWh)/1000</f>
        <v>698.74400000000003</v>
      </c>
      <c r="D25" s="924"/>
      <c r="E25" s="924">
        <f>IF(onbekend_gas_kWh="---",0,onbekend_gas_kWh)/1000+IF(REST_rest_gas_kWh="---",0,REST_rest_gas_kWh)/1000</f>
        <v>430.714</v>
      </c>
      <c r="F25" s="924"/>
      <c r="G25" s="924"/>
      <c r="H25" s="924"/>
      <c r="I25" s="924"/>
      <c r="J25" s="924"/>
      <c r="K25" s="924"/>
      <c r="L25" s="924"/>
      <c r="M25" s="924"/>
      <c r="N25" s="924"/>
      <c r="O25" s="924"/>
      <c r="P25" s="924"/>
      <c r="Q25" s="925"/>
      <c r="R25" s="638">
        <f>SUM(C25:Q25)</f>
        <v>1129.4580000000001</v>
      </c>
      <c r="S25" s="67"/>
    </row>
    <row r="26" spans="1:19" s="441" customFormat="1" ht="15.75" thickBot="1">
      <c r="A26" s="641" t="s">
        <v>865</v>
      </c>
      <c r="B26" s="757"/>
      <c r="C26" s="752">
        <f>SUM(C24:C25)</f>
        <v>1672.106</v>
      </c>
      <c r="D26" s="752">
        <f t="shared" ref="D26:R26" si="2">SUM(D24:D25)</f>
        <v>0</v>
      </c>
      <c r="E26" s="752">
        <f t="shared" si="2"/>
        <v>805.42554599999994</v>
      </c>
      <c r="F26" s="752">
        <f t="shared" si="2"/>
        <v>8.7712267075198778</v>
      </c>
      <c r="G26" s="752">
        <f t="shared" si="2"/>
        <v>3647.2171005579671</v>
      </c>
      <c r="H26" s="752">
        <f t="shared" si="2"/>
        <v>0</v>
      </c>
      <c r="I26" s="752">
        <f t="shared" si="2"/>
        <v>0</v>
      </c>
      <c r="J26" s="752">
        <f t="shared" si="2"/>
        <v>0</v>
      </c>
      <c r="K26" s="752">
        <f t="shared" si="2"/>
        <v>98.500208687179068</v>
      </c>
      <c r="L26" s="752">
        <f t="shared" si="2"/>
        <v>0</v>
      </c>
      <c r="M26" s="752">
        <f t="shared" si="2"/>
        <v>0</v>
      </c>
      <c r="N26" s="752">
        <f t="shared" si="2"/>
        <v>0</v>
      </c>
      <c r="O26" s="752">
        <f t="shared" si="2"/>
        <v>0</v>
      </c>
      <c r="P26" s="752">
        <f t="shared" si="2"/>
        <v>0</v>
      </c>
      <c r="Q26" s="752">
        <f t="shared" si="2"/>
        <v>0</v>
      </c>
      <c r="R26" s="752">
        <f t="shared" si="2"/>
        <v>6232.0200819526672</v>
      </c>
      <c r="S26" s="67"/>
    </row>
    <row r="27" spans="1:19" s="441" customFormat="1" ht="17.25" thickTop="1" thickBot="1">
      <c r="A27" s="642" t="s">
        <v>109</v>
      </c>
      <c r="B27" s="744"/>
      <c r="C27" s="643">
        <f ca="1">C22+C16+C26</f>
        <v>32392.610606686001</v>
      </c>
      <c r="D27" s="643">
        <f t="shared" ref="D27:R27" ca="1" si="3">D22+D16+D26</f>
        <v>0</v>
      </c>
      <c r="E27" s="643">
        <f t="shared" ca="1" si="3"/>
        <v>26385.649537094236</v>
      </c>
      <c r="F27" s="643">
        <f t="shared" si="3"/>
        <v>1883.3644297573105</v>
      </c>
      <c r="G27" s="643">
        <f t="shared" ca="1" si="3"/>
        <v>50028.905783969967</v>
      </c>
      <c r="H27" s="643">
        <f t="shared" si="3"/>
        <v>75841.046294246218</v>
      </c>
      <c r="I27" s="643">
        <f t="shared" si="3"/>
        <v>12426.67274458095</v>
      </c>
      <c r="J27" s="643">
        <f t="shared" si="3"/>
        <v>0</v>
      </c>
      <c r="K27" s="643">
        <f t="shared" si="3"/>
        <v>1111.4813345218029</v>
      </c>
      <c r="L27" s="643">
        <f t="shared" si="3"/>
        <v>0</v>
      </c>
      <c r="M27" s="643">
        <f t="shared" ca="1" si="3"/>
        <v>0</v>
      </c>
      <c r="N27" s="643">
        <f t="shared" si="3"/>
        <v>3838.9631820708055</v>
      </c>
      <c r="O27" s="643">
        <f t="shared" ca="1" si="3"/>
        <v>5211.6142165388246</v>
      </c>
      <c r="P27" s="643">
        <f t="shared" si="3"/>
        <v>46.9</v>
      </c>
      <c r="Q27" s="643">
        <f t="shared" si="3"/>
        <v>171.6</v>
      </c>
      <c r="R27" s="643">
        <f t="shared" ca="1" si="3"/>
        <v>209338.80812946614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1839.2306415501823</v>
      </c>
      <c r="D40" s="635">
        <f ca="1">tertiair!C20</f>
        <v>0</v>
      </c>
      <c r="E40" s="635">
        <f ca="1">tertiair!D20</f>
        <v>1149.0943057440002</v>
      </c>
      <c r="F40" s="635">
        <f>tertiair!E20</f>
        <v>29.043240413290324</v>
      </c>
      <c r="G40" s="635">
        <f ca="1">tertiair!F20</f>
        <v>405.54253850532979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3422.9107262128027</v>
      </c>
    </row>
    <row r="41" spans="1:18">
      <c r="A41" s="762" t="s">
        <v>214</v>
      </c>
      <c r="B41" s="769"/>
      <c r="C41" s="635">
        <f ca="1">huishoudens!B12</f>
        <v>3597.8102113867972</v>
      </c>
      <c r="D41" s="635">
        <f ca="1">huishoudens!C12</f>
        <v>0</v>
      </c>
      <c r="E41" s="635">
        <f>huishoudens!D12</f>
        <v>3692.2197544320002</v>
      </c>
      <c r="F41" s="635">
        <f>huishoudens!E12</f>
        <v>292.22076204519396</v>
      </c>
      <c r="G41" s="635">
        <f>huishoudens!F12</f>
        <v>11732.44943340879</v>
      </c>
      <c r="H41" s="635">
        <f>huishoudens!G12</f>
        <v>0</v>
      </c>
      <c r="I41" s="635">
        <f>huishoudens!H12</f>
        <v>0</v>
      </c>
      <c r="J41" s="635">
        <f>huishoudens!I12</f>
        <v>0</v>
      </c>
      <c r="K41" s="635">
        <f>huishoudens!J12</f>
        <v>350.26777417055848</v>
      </c>
      <c r="L41" s="635">
        <f>huishoudens!K12</f>
        <v>0</v>
      </c>
      <c r="M41" s="635">
        <f>huishoudens!L12</f>
        <v>0</v>
      </c>
      <c r="N41" s="635">
        <f>huishoudens!M12</f>
        <v>0</v>
      </c>
      <c r="O41" s="635">
        <f>huishoudens!N12</f>
        <v>0</v>
      </c>
      <c r="P41" s="635">
        <f>huishoudens!O12</f>
        <v>0</v>
      </c>
      <c r="Q41" s="710">
        <f>huishoudens!P12</f>
        <v>0</v>
      </c>
      <c r="R41" s="790">
        <f t="shared" ca="1" si="4"/>
        <v>19664.967935443343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884.89879066015203</v>
      </c>
      <c r="D43" s="635">
        <f ca="1">industrie!C22</f>
        <v>0</v>
      </c>
      <c r="E43" s="635">
        <f>industrie!D22</f>
        <v>325.18530932800002</v>
      </c>
      <c r="F43" s="635">
        <f>industrie!E22</f>
        <v>12.495778908000531</v>
      </c>
      <c r="G43" s="635">
        <f>industrie!F22</f>
        <v>245.91890655688459</v>
      </c>
      <c r="H43" s="635">
        <f>industrie!G22</f>
        <v>0</v>
      </c>
      <c r="I43" s="635">
        <f>industrie!H22</f>
        <v>0</v>
      </c>
      <c r="J43" s="635">
        <f>industrie!I22</f>
        <v>0</v>
      </c>
      <c r="K43" s="635">
        <f>industrie!J22</f>
        <v>8.3275443748983786</v>
      </c>
      <c r="L43" s="635">
        <f>industrie!K22</f>
        <v>0</v>
      </c>
      <c r="M43" s="635">
        <f>industrie!L22</f>
        <v>0</v>
      </c>
      <c r="N43" s="635">
        <f>industrie!M22</f>
        <v>0</v>
      </c>
      <c r="O43" s="635">
        <f>industrie!N22</f>
        <v>0</v>
      </c>
      <c r="P43" s="635">
        <f>industrie!O22</f>
        <v>0</v>
      </c>
      <c r="Q43" s="710">
        <f>industrie!P22</f>
        <v>0</v>
      </c>
      <c r="R43" s="789">
        <f t="shared" ca="1" si="4"/>
        <v>1476.8263298279358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6321.9396435971321</v>
      </c>
      <c r="D46" s="668">
        <f t="shared" ref="D46:Q46" ca="1" si="5">SUM(D39:D45)</f>
        <v>0</v>
      </c>
      <c r="E46" s="668">
        <f t="shared" ca="1" si="5"/>
        <v>5166.4993695040002</v>
      </c>
      <c r="F46" s="668">
        <f t="shared" si="5"/>
        <v>333.75978136648484</v>
      </c>
      <c r="G46" s="668">
        <f t="shared" ca="1" si="5"/>
        <v>12383.910878471004</v>
      </c>
      <c r="H46" s="668">
        <f t="shared" si="5"/>
        <v>0</v>
      </c>
      <c r="I46" s="668">
        <f t="shared" si="5"/>
        <v>0</v>
      </c>
      <c r="J46" s="668">
        <f t="shared" si="5"/>
        <v>0</v>
      </c>
      <c r="K46" s="668">
        <f t="shared" si="5"/>
        <v>358.59531854545685</v>
      </c>
      <c r="L46" s="668">
        <f t="shared" si="5"/>
        <v>0</v>
      </c>
      <c r="M46" s="668">
        <f t="shared" ca="1" si="5"/>
        <v>0</v>
      </c>
      <c r="N46" s="668">
        <f t="shared" si="5"/>
        <v>0</v>
      </c>
      <c r="O46" s="668">
        <f t="shared" ca="1" si="5"/>
        <v>0</v>
      </c>
      <c r="P46" s="668">
        <f t="shared" si="5"/>
        <v>0</v>
      </c>
      <c r="Q46" s="668">
        <f t="shared" si="5"/>
        <v>0</v>
      </c>
      <c r="R46" s="668">
        <f ca="1">SUM(R39:R45)</f>
        <v>24564.704991484079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0.52315739342212686</v>
      </c>
      <c r="D49" s="635">
        <f ca="1">transport!C58</f>
        <v>0</v>
      </c>
      <c r="E49" s="635">
        <f>transport!D58</f>
        <v>0</v>
      </c>
      <c r="F49" s="635">
        <f>transport!E58</f>
        <v>0</v>
      </c>
      <c r="G49" s="635">
        <f>transport!F58</f>
        <v>0</v>
      </c>
      <c r="H49" s="635">
        <f>transport!G58</f>
        <v>147.23479828083714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147.75795567425928</v>
      </c>
    </row>
    <row r="50" spans="1:18">
      <c r="A50" s="765" t="s">
        <v>296</v>
      </c>
      <c r="B50" s="775"/>
      <c r="C50" s="930">
        <f ca="1">transport!B18</f>
        <v>0.21518883718591947</v>
      </c>
      <c r="D50" s="930">
        <f>transport!C18</f>
        <v>0</v>
      </c>
      <c r="E50" s="930">
        <f>transport!D18</f>
        <v>0.70587669703604794</v>
      </c>
      <c r="F50" s="930">
        <f>transport!E18</f>
        <v>91.772875725817698</v>
      </c>
      <c r="G50" s="930">
        <f>transport!F18</f>
        <v>0</v>
      </c>
      <c r="H50" s="930">
        <f>transport!G18</f>
        <v>20102.324562282902</v>
      </c>
      <c r="I50" s="930">
        <f>transport!H18</f>
        <v>3094.2415134006565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23289.260016943597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0.73834623060804638</v>
      </c>
      <c r="D52" s="668">
        <f t="shared" ref="D52:Q52" ca="1" si="6">SUM(D48:D51)</f>
        <v>0</v>
      </c>
      <c r="E52" s="668">
        <f t="shared" si="6"/>
        <v>0.70587669703604794</v>
      </c>
      <c r="F52" s="668">
        <f t="shared" si="6"/>
        <v>91.772875725817698</v>
      </c>
      <c r="G52" s="668">
        <f t="shared" si="6"/>
        <v>0</v>
      </c>
      <c r="H52" s="668">
        <f t="shared" si="6"/>
        <v>20249.55936056374</v>
      </c>
      <c r="I52" s="668">
        <f t="shared" si="6"/>
        <v>3094.2415134006565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23437.017972617858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200.33051449927348</v>
      </c>
      <c r="D54" s="930">
        <f ca="1">+landbouw!C12</f>
        <v>0</v>
      </c>
      <c r="E54" s="930">
        <f>+landbouw!D12</f>
        <v>75.691732291999998</v>
      </c>
      <c r="F54" s="930">
        <f>+landbouw!E12</f>
        <v>1.9910684626070123</v>
      </c>
      <c r="G54" s="930">
        <f>+landbouw!F12</f>
        <v>973.80696584897726</v>
      </c>
      <c r="H54" s="930">
        <f>+landbouw!G12</f>
        <v>0</v>
      </c>
      <c r="I54" s="930">
        <f>+landbouw!H12</f>
        <v>0</v>
      </c>
      <c r="J54" s="930">
        <f>+landbouw!I12</f>
        <v>0</v>
      </c>
      <c r="K54" s="930">
        <f>+landbouw!J12</f>
        <v>34.869073875261385</v>
      </c>
      <c r="L54" s="930">
        <f>+landbouw!K12</f>
        <v>0</v>
      </c>
      <c r="M54" s="930">
        <f>+landbouw!L12</f>
        <v>0</v>
      </c>
      <c r="N54" s="930">
        <f>+landbouw!M12</f>
        <v>0</v>
      </c>
      <c r="O54" s="930">
        <f>+landbouw!N12</f>
        <v>0</v>
      </c>
      <c r="P54" s="930">
        <f>+landbouw!O12</f>
        <v>0</v>
      </c>
      <c r="Q54" s="931">
        <f>+landbouw!P12</f>
        <v>0</v>
      </c>
      <c r="R54" s="667">
        <f ca="1">SUM(C54:Q54)</f>
        <v>1286.6893549781191</v>
      </c>
    </row>
    <row r="55" spans="1:18" ht="15" thickBot="1">
      <c r="A55" s="765" t="s">
        <v>864</v>
      </c>
      <c r="B55" s="775"/>
      <c r="C55" s="930">
        <f ca="1">C25*'EF ele_warmte'!B12</f>
        <v>143.81057101394995</v>
      </c>
      <c r="D55" s="930"/>
      <c r="E55" s="930">
        <f>E25*EF_CO2_aardgas</f>
        <v>87.004228000000012</v>
      </c>
      <c r="F55" s="930"/>
      <c r="G55" s="930"/>
      <c r="H55" s="930"/>
      <c r="I55" s="930"/>
      <c r="J55" s="930"/>
      <c r="K55" s="930"/>
      <c r="L55" s="930"/>
      <c r="M55" s="930"/>
      <c r="N55" s="930"/>
      <c r="O55" s="930"/>
      <c r="P55" s="930"/>
      <c r="Q55" s="931"/>
      <c r="R55" s="667">
        <f ca="1">SUM(C55:Q55)</f>
        <v>230.81479901394997</v>
      </c>
    </row>
    <row r="56" spans="1:18" ht="15.75" thickBot="1">
      <c r="A56" s="763" t="s">
        <v>865</v>
      </c>
      <c r="B56" s="776"/>
      <c r="C56" s="668">
        <f ca="1">SUM(C54:C55)</f>
        <v>344.1410855132234</v>
      </c>
      <c r="D56" s="668">
        <f t="shared" ref="D56:Q56" ca="1" si="7">SUM(D54:D55)</f>
        <v>0</v>
      </c>
      <c r="E56" s="668">
        <f t="shared" si="7"/>
        <v>162.695960292</v>
      </c>
      <c r="F56" s="668">
        <f t="shared" si="7"/>
        <v>1.9910684626070123</v>
      </c>
      <c r="G56" s="668">
        <f t="shared" si="7"/>
        <v>973.80696584897726</v>
      </c>
      <c r="H56" s="668">
        <f t="shared" si="7"/>
        <v>0</v>
      </c>
      <c r="I56" s="668">
        <f t="shared" si="7"/>
        <v>0</v>
      </c>
      <c r="J56" s="668">
        <f t="shared" si="7"/>
        <v>0</v>
      </c>
      <c r="K56" s="668">
        <f t="shared" si="7"/>
        <v>34.869073875261385</v>
      </c>
      <c r="L56" s="668">
        <f t="shared" si="7"/>
        <v>0</v>
      </c>
      <c r="M56" s="668">
        <f t="shared" si="7"/>
        <v>0</v>
      </c>
      <c r="N56" s="668">
        <f t="shared" si="7"/>
        <v>0</v>
      </c>
      <c r="O56" s="668">
        <f t="shared" si="7"/>
        <v>0</v>
      </c>
      <c r="P56" s="668">
        <f t="shared" si="7"/>
        <v>0</v>
      </c>
      <c r="Q56" s="669">
        <f t="shared" si="7"/>
        <v>0</v>
      </c>
      <c r="R56" s="670">
        <f ca="1">SUM(R54:R55)</f>
        <v>1517.5041539920692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6666.8190753409635</v>
      </c>
      <c r="D61" s="676">
        <f t="shared" ref="D61:Q61" ca="1" si="8">D46+D52+D56</f>
        <v>0</v>
      </c>
      <c r="E61" s="676">
        <f t="shared" ca="1" si="8"/>
        <v>5329.9012064930357</v>
      </c>
      <c r="F61" s="676">
        <f t="shared" si="8"/>
        <v>427.52372555490956</v>
      </c>
      <c r="G61" s="676">
        <f t="shared" ca="1" si="8"/>
        <v>13357.717844319981</v>
      </c>
      <c r="H61" s="676">
        <f t="shared" si="8"/>
        <v>20249.55936056374</v>
      </c>
      <c r="I61" s="676">
        <f t="shared" si="8"/>
        <v>3094.2415134006565</v>
      </c>
      <c r="J61" s="676">
        <f t="shared" si="8"/>
        <v>0</v>
      </c>
      <c r="K61" s="676">
        <f t="shared" si="8"/>
        <v>393.46439242071824</v>
      </c>
      <c r="L61" s="676">
        <f t="shared" si="8"/>
        <v>0</v>
      </c>
      <c r="M61" s="676">
        <f t="shared" ca="1" si="8"/>
        <v>0</v>
      </c>
      <c r="N61" s="676">
        <f t="shared" si="8"/>
        <v>0</v>
      </c>
      <c r="O61" s="676">
        <f t="shared" ca="1" si="8"/>
        <v>0</v>
      </c>
      <c r="P61" s="676">
        <f t="shared" si="8"/>
        <v>0</v>
      </c>
      <c r="Q61" s="676">
        <f t="shared" si="8"/>
        <v>0</v>
      </c>
      <c r="R61" s="676">
        <f ca="1">R46+R52+R56</f>
        <v>49519.227118094008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0.20581296013124975</v>
      </c>
      <c r="D63" s="720">
        <f t="shared" ca="1" si="9"/>
        <v>0</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2226.0084558219182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2226.0084558219182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17480.970144408908</v>
      </c>
      <c r="C4" s="445">
        <f>huishoudens!C8</f>
        <v>0</v>
      </c>
      <c r="D4" s="445">
        <f>huishoudens!D8</f>
        <v>18278.315616</v>
      </c>
      <c r="E4" s="445">
        <f>huishoudens!E8</f>
        <v>1287.3161323576826</v>
      </c>
      <c r="F4" s="445">
        <f>huishoudens!F8</f>
        <v>43941.758177561009</v>
      </c>
      <c r="G4" s="445">
        <f>huishoudens!G8</f>
        <v>0</v>
      </c>
      <c r="H4" s="445">
        <f>huishoudens!H8</f>
        <v>0</v>
      </c>
      <c r="I4" s="445">
        <f>huishoudens!I8</f>
        <v>0</v>
      </c>
      <c r="J4" s="445">
        <f>huishoudens!J8</f>
        <v>989.4569891823686</v>
      </c>
      <c r="K4" s="445">
        <f>huishoudens!K8</f>
        <v>0</v>
      </c>
      <c r="L4" s="445">
        <f>huishoudens!L8</f>
        <v>0</v>
      </c>
      <c r="M4" s="445">
        <f>huishoudens!M8</f>
        <v>0</v>
      </c>
      <c r="N4" s="445">
        <f>huishoudens!N8</f>
        <v>4983.9593223839938</v>
      </c>
      <c r="O4" s="445">
        <f>huishoudens!O8</f>
        <v>46.9</v>
      </c>
      <c r="P4" s="446">
        <f>huishoudens!P8</f>
        <v>152.53333333333333</v>
      </c>
      <c r="Q4" s="447">
        <f>SUM(B4:P4)</f>
        <v>87161.209715227291</v>
      </c>
    </row>
    <row r="5" spans="1:17">
      <c r="A5" s="444" t="s">
        <v>149</v>
      </c>
      <c r="B5" s="445">
        <f ca="1">tertiair!B16</f>
        <v>8336.0259999999998</v>
      </c>
      <c r="C5" s="445">
        <f ca="1">tertiair!C16</f>
        <v>0</v>
      </c>
      <c r="D5" s="445">
        <f ca="1">tertiair!D16</f>
        <v>5688.5856720000002</v>
      </c>
      <c r="E5" s="445">
        <f>tertiair!E16</f>
        <v>127.94379036691772</v>
      </c>
      <c r="F5" s="445">
        <f ca="1">tertiair!F16</f>
        <v>1518.8859120049804</v>
      </c>
      <c r="G5" s="445">
        <f>tertiair!G16</f>
        <v>0</v>
      </c>
      <c r="H5" s="445">
        <f>tertiair!H16</f>
        <v>0</v>
      </c>
      <c r="I5" s="445">
        <f>tertiair!I16</f>
        <v>0</v>
      </c>
      <c r="J5" s="445">
        <f>tertiair!J16</f>
        <v>0</v>
      </c>
      <c r="K5" s="445">
        <f>tertiair!K16</f>
        <v>0</v>
      </c>
      <c r="L5" s="445">
        <f ca="1">tertiair!L16</f>
        <v>0</v>
      </c>
      <c r="M5" s="445">
        <f>tertiair!M16</f>
        <v>0</v>
      </c>
      <c r="N5" s="445">
        <f ca="1">tertiair!N16</f>
        <v>154.44657651148214</v>
      </c>
      <c r="O5" s="445">
        <f>tertiair!O16</f>
        <v>0</v>
      </c>
      <c r="P5" s="446">
        <f>tertiair!P16</f>
        <v>19.066666666666666</v>
      </c>
      <c r="Q5" s="444">
        <f t="shared" ref="Q5:Q14" ca="1" si="0">SUM(B5:P5)</f>
        <v>15844.954617550047</v>
      </c>
    </row>
    <row r="6" spans="1:17">
      <c r="A6" s="444" t="s">
        <v>187</v>
      </c>
      <c r="B6" s="445">
        <f>'openbare verlichting'!B8</f>
        <v>600.39200000000005</v>
      </c>
      <c r="C6" s="445"/>
      <c r="D6" s="445"/>
      <c r="E6" s="445"/>
      <c r="F6" s="445"/>
      <c r="G6" s="445"/>
      <c r="H6" s="445"/>
      <c r="I6" s="445"/>
      <c r="J6" s="445"/>
      <c r="K6" s="445"/>
      <c r="L6" s="445"/>
      <c r="M6" s="445"/>
      <c r="N6" s="445"/>
      <c r="O6" s="445"/>
      <c r="P6" s="446"/>
      <c r="Q6" s="444">
        <f t="shared" si="0"/>
        <v>600.39200000000005</v>
      </c>
    </row>
    <row r="7" spans="1:17">
      <c r="A7" s="444" t="s">
        <v>105</v>
      </c>
      <c r="B7" s="445">
        <f>landbouw!B8</f>
        <v>973.36199999999997</v>
      </c>
      <c r="C7" s="445">
        <f>landbouw!C8</f>
        <v>0</v>
      </c>
      <c r="D7" s="445">
        <f>landbouw!D8</f>
        <v>374.711546</v>
      </c>
      <c r="E7" s="445">
        <f>landbouw!E8</f>
        <v>8.7712267075198778</v>
      </c>
      <c r="F7" s="445">
        <f>landbouw!F8</f>
        <v>3647.2171005579671</v>
      </c>
      <c r="G7" s="445">
        <f>landbouw!G8</f>
        <v>0</v>
      </c>
      <c r="H7" s="445">
        <f>landbouw!H8</f>
        <v>0</v>
      </c>
      <c r="I7" s="445">
        <f>landbouw!I8</f>
        <v>0</v>
      </c>
      <c r="J7" s="445">
        <f>landbouw!J8</f>
        <v>98.500208687179068</v>
      </c>
      <c r="K7" s="445">
        <f>landbouw!K8</f>
        <v>0</v>
      </c>
      <c r="L7" s="445">
        <f>landbouw!L8</f>
        <v>0</v>
      </c>
      <c r="M7" s="445">
        <f>landbouw!M8</f>
        <v>0</v>
      </c>
      <c r="N7" s="445">
        <f>landbouw!N8</f>
        <v>0</v>
      </c>
      <c r="O7" s="445">
        <f>landbouw!O8</f>
        <v>0</v>
      </c>
      <c r="P7" s="446">
        <f>landbouw!P8</f>
        <v>0</v>
      </c>
      <c r="Q7" s="444">
        <f t="shared" si="0"/>
        <v>5102.5620819526666</v>
      </c>
    </row>
    <row r="8" spans="1:17">
      <c r="A8" s="444" t="s">
        <v>613</v>
      </c>
      <c r="B8" s="445">
        <f>industrie!B18</f>
        <v>4299.5290000000005</v>
      </c>
      <c r="C8" s="445">
        <f>industrie!C18</f>
        <v>0</v>
      </c>
      <c r="D8" s="445">
        <f>industrie!D18</f>
        <v>1609.828264</v>
      </c>
      <c r="E8" s="445">
        <f>industrie!E18</f>
        <v>55.047484176213793</v>
      </c>
      <c r="F8" s="445">
        <f>industrie!F18</f>
        <v>921.04459384600966</v>
      </c>
      <c r="G8" s="445">
        <f>industrie!G18</f>
        <v>0</v>
      </c>
      <c r="H8" s="445">
        <f>industrie!H18</f>
        <v>0</v>
      </c>
      <c r="I8" s="445">
        <f>industrie!I18</f>
        <v>0</v>
      </c>
      <c r="J8" s="445">
        <f>industrie!J18</f>
        <v>23.524136652255308</v>
      </c>
      <c r="K8" s="445">
        <f>industrie!K18</f>
        <v>0</v>
      </c>
      <c r="L8" s="445">
        <f>industrie!L18</f>
        <v>0</v>
      </c>
      <c r="M8" s="445">
        <f>industrie!M18</f>
        <v>0</v>
      </c>
      <c r="N8" s="445">
        <f>industrie!N18</f>
        <v>73.208317643349005</v>
      </c>
      <c r="O8" s="445">
        <f>industrie!O18</f>
        <v>0</v>
      </c>
      <c r="P8" s="446">
        <f>industrie!P18</f>
        <v>0</v>
      </c>
      <c r="Q8" s="444">
        <f t="shared" si="0"/>
        <v>6982.1817963178273</v>
      </c>
    </row>
    <row r="9" spans="1:17" s="450" customFormat="1">
      <c r="A9" s="448" t="s">
        <v>555</v>
      </c>
      <c r="B9" s="449">
        <f>transport!B14</f>
        <v>1.0455553287251231</v>
      </c>
      <c r="C9" s="449">
        <f>transport!C14</f>
        <v>0</v>
      </c>
      <c r="D9" s="449">
        <f>transport!D14</f>
        <v>3.4944390942378609</v>
      </c>
      <c r="E9" s="449">
        <f>transport!E14</f>
        <v>404.2857961489766</v>
      </c>
      <c r="F9" s="449">
        <f>transport!F14</f>
        <v>0</v>
      </c>
      <c r="G9" s="449">
        <f>transport!G14</f>
        <v>75289.605102183152</v>
      </c>
      <c r="H9" s="449">
        <f>transport!H14</f>
        <v>12426.67274458095</v>
      </c>
      <c r="I9" s="449">
        <f>transport!I14</f>
        <v>0</v>
      </c>
      <c r="J9" s="449">
        <f>transport!J14</f>
        <v>0</v>
      </c>
      <c r="K9" s="449">
        <f>transport!K14</f>
        <v>0</v>
      </c>
      <c r="L9" s="449">
        <f>transport!L14</f>
        <v>0</v>
      </c>
      <c r="M9" s="449">
        <f>transport!M14</f>
        <v>3815.352588449608</v>
      </c>
      <c r="N9" s="449">
        <f>transport!N14</f>
        <v>0</v>
      </c>
      <c r="O9" s="449">
        <f>transport!O14</f>
        <v>0</v>
      </c>
      <c r="P9" s="449">
        <f>transport!P14</f>
        <v>0</v>
      </c>
      <c r="Q9" s="448">
        <f>SUM(B9:P9)</f>
        <v>91940.456225785645</v>
      </c>
    </row>
    <row r="10" spans="1:17">
      <c r="A10" s="444" t="s">
        <v>545</v>
      </c>
      <c r="B10" s="445">
        <f>transport!B54</f>
        <v>2.5419069483695402</v>
      </c>
      <c r="C10" s="445">
        <f>transport!C54</f>
        <v>0</v>
      </c>
      <c r="D10" s="445">
        <f>transport!D54</f>
        <v>0</v>
      </c>
      <c r="E10" s="445">
        <f>transport!E54</f>
        <v>0</v>
      </c>
      <c r="F10" s="445">
        <f>transport!F54</f>
        <v>0</v>
      </c>
      <c r="G10" s="445">
        <f>transport!G54</f>
        <v>551.44119206306038</v>
      </c>
      <c r="H10" s="445">
        <f>transport!H54</f>
        <v>0</v>
      </c>
      <c r="I10" s="445">
        <f>transport!I54</f>
        <v>0</v>
      </c>
      <c r="J10" s="445">
        <f>transport!J54</f>
        <v>0</v>
      </c>
      <c r="K10" s="445">
        <f>transport!K54</f>
        <v>0</v>
      </c>
      <c r="L10" s="445">
        <f>transport!L54</f>
        <v>0</v>
      </c>
      <c r="M10" s="445">
        <f>transport!M54</f>
        <v>23.610593621197385</v>
      </c>
      <c r="N10" s="445">
        <f>transport!N54</f>
        <v>0</v>
      </c>
      <c r="O10" s="445">
        <f>transport!O54</f>
        <v>0</v>
      </c>
      <c r="P10" s="446">
        <f>transport!P54</f>
        <v>0</v>
      </c>
      <c r="Q10" s="444">
        <f t="shared" si="0"/>
        <v>577.59369263262727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698.74400000000003</v>
      </c>
      <c r="C14" s="452"/>
      <c r="D14" s="452">
        <f>'SEAP template'!E25</f>
        <v>430.714</v>
      </c>
      <c r="E14" s="452"/>
      <c r="F14" s="452"/>
      <c r="G14" s="452"/>
      <c r="H14" s="452"/>
      <c r="I14" s="452"/>
      <c r="J14" s="452"/>
      <c r="K14" s="452"/>
      <c r="L14" s="452"/>
      <c r="M14" s="452"/>
      <c r="N14" s="452"/>
      <c r="O14" s="452"/>
      <c r="P14" s="453"/>
      <c r="Q14" s="444">
        <f t="shared" si="0"/>
        <v>1129.4580000000001</v>
      </c>
    </row>
    <row r="15" spans="1:17" s="457" customFormat="1">
      <c r="A15" s="454" t="s">
        <v>549</v>
      </c>
      <c r="B15" s="455">
        <f ca="1">SUM(B4:B14)</f>
        <v>32392.610606686001</v>
      </c>
      <c r="C15" s="455">
        <f t="shared" ref="C15:Q15" ca="1" si="1">SUM(C4:C14)</f>
        <v>0</v>
      </c>
      <c r="D15" s="455">
        <f t="shared" ca="1" si="1"/>
        <v>26385.649537094236</v>
      </c>
      <c r="E15" s="455">
        <f t="shared" si="1"/>
        <v>1883.3644297573105</v>
      </c>
      <c r="F15" s="455">
        <f t="shared" ca="1" si="1"/>
        <v>50028.905783969967</v>
      </c>
      <c r="G15" s="455">
        <f t="shared" si="1"/>
        <v>75841.046294246218</v>
      </c>
      <c r="H15" s="455">
        <f t="shared" si="1"/>
        <v>12426.67274458095</v>
      </c>
      <c r="I15" s="455">
        <f t="shared" si="1"/>
        <v>0</v>
      </c>
      <c r="J15" s="455">
        <f t="shared" si="1"/>
        <v>1111.4813345218029</v>
      </c>
      <c r="K15" s="455">
        <f t="shared" si="1"/>
        <v>0</v>
      </c>
      <c r="L15" s="455">
        <f t="shared" ca="1" si="1"/>
        <v>0</v>
      </c>
      <c r="M15" s="455">
        <f t="shared" si="1"/>
        <v>3838.9631820708055</v>
      </c>
      <c r="N15" s="455">
        <f t="shared" ca="1" si="1"/>
        <v>5211.6142165388246</v>
      </c>
      <c r="O15" s="455">
        <f t="shared" si="1"/>
        <v>46.9</v>
      </c>
      <c r="P15" s="455">
        <f t="shared" si="1"/>
        <v>171.6</v>
      </c>
      <c r="Q15" s="455">
        <f t="shared" ca="1" si="1"/>
        <v>209338.80812946611</v>
      </c>
    </row>
    <row r="17" spans="1:17">
      <c r="A17" s="458" t="s">
        <v>550</v>
      </c>
      <c r="B17" s="725">
        <f ca="1">huishoudens!B10</f>
        <v>0.20581296013124972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3597.8102113867972</v>
      </c>
      <c r="C22" s="445">
        <f t="shared" ref="C22:C32" ca="1" si="3">C4*$C$17</f>
        <v>0</v>
      </c>
      <c r="D22" s="445">
        <f t="shared" ref="D22:D32" si="4">D4*$D$17</f>
        <v>3692.2197544320002</v>
      </c>
      <c r="E22" s="445">
        <f t="shared" ref="E22:E32" si="5">E4*$E$17</f>
        <v>292.22076204519396</v>
      </c>
      <c r="F22" s="445">
        <f t="shared" ref="F22:F32" si="6">F4*$F$17</f>
        <v>11732.44943340879</v>
      </c>
      <c r="G22" s="445">
        <f t="shared" ref="G22:G32" si="7">G4*$G$17</f>
        <v>0</v>
      </c>
      <c r="H22" s="445">
        <f t="shared" ref="H22:H32" si="8">H4*$H$17</f>
        <v>0</v>
      </c>
      <c r="I22" s="445">
        <f t="shared" ref="I22:I32" si="9">I4*$I$17</f>
        <v>0</v>
      </c>
      <c r="J22" s="445">
        <f t="shared" ref="J22:J32" si="10">J4*$J$17</f>
        <v>350.26777417055848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19664.967935443343</v>
      </c>
    </row>
    <row r="23" spans="1:17">
      <c r="A23" s="444" t="s">
        <v>149</v>
      </c>
      <c r="B23" s="445">
        <f t="shared" ca="1" si="2"/>
        <v>1715.662186791061</v>
      </c>
      <c r="C23" s="445">
        <f t="shared" ca="1" si="3"/>
        <v>0</v>
      </c>
      <c r="D23" s="445">
        <f t="shared" ca="1" si="4"/>
        <v>1149.0943057440002</v>
      </c>
      <c r="E23" s="445">
        <f t="shared" si="5"/>
        <v>29.043240413290324</v>
      </c>
      <c r="F23" s="445">
        <f t="shared" ca="1" si="6"/>
        <v>405.54253850532979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3299.3422714536814</v>
      </c>
    </row>
    <row r="24" spans="1:17">
      <c r="A24" s="444" t="s">
        <v>187</v>
      </c>
      <c r="B24" s="445">
        <f t="shared" ca="1" si="2"/>
        <v>123.56845475912129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123.56845475912129</v>
      </c>
    </row>
    <row r="25" spans="1:17">
      <c r="A25" s="444" t="s">
        <v>105</v>
      </c>
      <c r="B25" s="445">
        <f t="shared" ca="1" si="2"/>
        <v>200.33051449927348</v>
      </c>
      <c r="C25" s="445">
        <f t="shared" ca="1" si="3"/>
        <v>0</v>
      </c>
      <c r="D25" s="445">
        <f t="shared" si="4"/>
        <v>75.691732291999998</v>
      </c>
      <c r="E25" s="445">
        <f t="shared" si="5"/>
        <v>1.9910684626070123</v>
      </c>
      <c r="F25" s="445">
        <f t="shared" si="6"/>
        <v>973.80696584897726</v>
      </c>
      <c r="G25" s="445">
        <f t="shared" si="7"/>
        <v>0</v>
      </c>
      <c r="H25" s="445">
        <f t="shared" si="8"/>
        <v>0</v>
      </c>
      <c r="I25" s="445">
        <f t="shared" si="9"/>
        <v>0</v>
      </c>
      <c r="J25" s="445">
        <f t="shared" si="10"/>
        <v>34.869073875261385</v>
      </c>
      <c r="K25" s="445">
        <f t="shared" si="11"/>
        <v>0</v>
      </c>
      <c r="L25" s="445">
        <f t="shared" si="12"/>
        <v>0</v>
      </c>
      <c r="M25" s="445">
        <f t="shared" si="13"/>
        <v>0</v>
      </c>
      <c r="N25" s="445">
        <f t="shared" si="14"/>
        <v>0</v>
      </c>
      <c r="O25" s="445">
        <f t="shared" si="15"/>
        <v>0</v>
      </c>
      <c r="P25" s="446">
        <f t="shared" si="16"/>
        <v>0</v>
      </c>
      <c r="Q25" s="444">
        <f t="shared" ca="1" si="17"/>
        <v>1286.6893549781191</v>
      </c>
    </row>
    <row r="26" spans="1:17">
      <c r="A26" s="444" t="s">
        <v>613</v>
      </c>
      <c r="B26" s="445">
        <f t="shared" ca="1" si="2"/>
        <v>884.89879066015203</v>
      </c>
      <c r="C26" s="445">
        <f t="shared" ca="1" si="3"/>
        <v>0</v>
      </c>
      <c r="D26" s="445">
        <f t="shared" si="4"/>
        <v>325.18530932800002</v>
      </c>
      <c r="E26" s="445">
        <f t="shared" si="5"/>
        <v>12.495778908000531</v>
      </c>
      <c r="F26" s="445">
        <f t="shared" si="6"/>
        <v>245.91890655688459</v>
      </c>
      <c r="G26" s="445">
        <f t="shared" si="7"/>
        <v>0</v>
      </c>
      <c r="H26" s="445">
        <f t="shared" si="8"/>
        <v>0</v>
      </c>
      <c r="I26" s="445">
        <f t="shared" si="9"/>
        <v>0</v>
      </c>
      <c r="J26" s="445">
        <f t="shared" si="10"/>
        <v>8.3275443748983786</v>
      </c>
      <c r="K26" s="445">
        <f t="shared" si="11"/>
        <v>0</v>
      </c>
      <c r="L26" s="445">
        <f t="shared" si="12"/>
        <v>0</v>
      </c>
      <c r="M26" s="445">
        <f t="shared" si="13"/>
        <v>0</v>
      </c>
      <c r="N26" s="445">
        <f t="shared" si="14"/>
        <v>0</v>
      </c>
      <c r="O26" s="445">
        <f t="shared" si="15"/>
        <v>0</v>
      </c>
      <c r="P26" s="446">
        <f t="shared" si="16"/>
        <v>0</v>
      </c>
      <c r="Q26" s="444">
        <f t="shared" ca="1" si="17"/>
        <v>1476.8263298279358</v>
      </c>
    </row>
    <row r="27" spans="1:17" s="450" customFormat="1">
      <c r="A27" s="448" t="s">
        <v>555</v>
      </c>
      <c r="B27" s="719">
        <f t="shared" ca="1" si="2"/>
        <v>0.21518883718591947</v>
      </c>
      <c r="C27" s="449">
        <f t="shared" ca="1" si="3"/>
        <v>0</v>
      </c>
      <c r="D27" s="449">
        <f t="shared" si="4"/>
        <v>0.70587669703604794</v>
      </c>
      <c r="E27" s="449">
        <f t="shared" si="5"/>
        <v>91.772875725817698</v>
      </c>
      <c r="F27" s="449">
        <f t="shared" si="6"/>
        <v>0</v>
      </c>
      <c r="G27" s="449">
        <f t="shared" si="7"/>
        <v>20102.324562282902</v>
      </c>
      <c r="H27" s="449">
        <f t="shared" si="8"/>
        <v>3094.2415134006565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23289.260016943597</v>
      </c>
    </row>
    <row r="28" spans="1:17">
      <c r="A28" s="444" t="s">
        <v>545</v>
      </c>
      <c r="B28" s="445">
        <f t="shared" ca="1" si="2"/>
        <v>0.52315739342212686</v>
      </c>
      <c r="C28" s="445">
        <f t="shared" ca="1" si="3"/>
        <v>0</v>
      </c>
      <c r="D28" s="445">
        <f t="shared" si="4"/>
        <v>0</v>
      </c>
      <c r="E28" s="445">
        <f t="shared" si="5"/>
        <v>0</v>
      </c>
      <c r="F28" s="445">
        <f t="shared" si="6"/>
        <v>0</v>
      </c>
      <c r="G28" s="445">
        <f t="shared" si="7"/>
        <v>147.23479828083714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147.75795567425928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143.81057101394995</v>
      </c>
      <c r="C32" s="445">
        <f t="shared" ca="1" si="3"/>
        <v>0</v>
      </c>
      <c r="D32" s="445">
        <f t="shared" si="4"/>
        <v>87.004228000000012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230.81479901394997</v>
      </c>
    </row>
    <row r="33" spans="1:17" s="457" customFormat="1">
      <c r="A33" s="454" t="s">
        <v>549</v>
      </c>
      <c r="B33" s="455">
        <f ca="1">SUM(B22:B32)</f>
        <v>6666.8190753409635</v>
      </c>
      <c r="C33" s="455">
        <f t="shared" ref="C33:Q33" ca="1" si="19">SUM(C22:C32)</f>
        <v>0</v>
      </c>
      <c r="D33" s="455">
        <f t="shared" ca="1" si="19"/>
        <v>5329.9012064930357</v>
      </c>
      <c r="E33" s="455">
        <f t="shared" si="19"/>
        <v>427.52372555490956</v>
      </c>
      <c r="F33" s="455">
        <f t="shared" ca="1" si="19"/>
        <v>13357.717844319981</v>
      </c>
      <c r="G33" s="455">
        <f t="shared" si="19"/>
        <v>20249.55936056374</v>
      </c>
      <c r="H33" s="455">
        <f t="shared" si="19"/>
        <v>3094.2415134006565</v>
      </c>
      <c r="I33" s="455">
        <f t="shared" si="19"/>
        <v>0</v>
      </c>
      <c r="J33" s="455">
        <f t="shared" si="19"/>
        <v>393.46439242071824</v>
      </c>
      <c r="K33" s="455">
        <f t="shared" si="19"/>
        <v>0</v>
      </c>
      <c r="L33" s="455">
        <f t="shared" ca="1" si="19"/>
        <v>0</v>
      </c>
      <c r="M33" s="455">
        <f t="shared" si="19"/>
        <v>0</v>
      </c>
      <c r="N33" s="455">
        <f t="shared" ca="1" si="19"/>
        <v>0</v>
      </c>
      <c r="O33" s="455">
        <f t="shared" si="19"/>
        <v>0</v>
      </c>
      <c r="P33" s="455">
        <f t="shared" si="19"/>
        <v>0</v>
      </c>
      <c r="Q33" s="455">
        <f t="shared" ca="1" si="19"/>
        <v>49519.227118094008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2226.0084558219182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2226.0084558219182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0.20581296013124972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0.20581296013124972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2022-07-26T13:07:36Z</dcterms:modified>
</cp:coreProperties>
</file>