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95EF485-05B7-4517-AEAB-404E41A2120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<sst xmlns="http://schemas.openxmlformats.org/spreadsheetml/2006/main" count="2513" uniqueCount="962">
  <si>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</si>
  <si>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</si>
  <si>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</si>
  <si>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</si>
  <si>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</si>
  <si>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</si>
  <si>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</si>
  <si>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</si>
  <si>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</si>
  <si>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</si>
  <si>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</si>
  <si>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</si>
  <si>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</si>
  <si>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</si>
  <si>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</si>
  <si>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</si>
  <si>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</si>
  <si>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</si>
  <si>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</si>
  <si>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</si>
  <si>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</si>
  <si>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</si>
  <si>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</si>
  <si>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</si>
  <si>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</si>
  <si>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</si>
  <si>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</si>
  <si>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</si>
  <si>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</si>
  <si>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</si>
  <si>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</si>
  <si>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</si>
  <si>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</si>
  <si>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</si>
  <si>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</si>
  <si>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</si>
  <si>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</si>
  <si>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</si>
  <si>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</si>
  <si>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</si>
  <si>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</si>
  <si>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</si>
  <si>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</si>
  <si>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</si>
  <si>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</si>
  <si>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</si>
  <si>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</si>
  <si>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</si>
  <si>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</si>
  <si>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</si>
  <si>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</si>
  <si>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</si>
  <si>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</si>
  <si>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</si>
  <si>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</si>
  <si>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</si>
  <si>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</si>
  <si>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</si>
  <si>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</si>
  <si>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</si>
  <si>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</si>
  <si>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</si>
  <si>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</si>
  <si>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</si>
  <si>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</si>
  <si>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</si>
  <si>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</si>
  <si>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</si>
  <si>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</si>
  <si>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</si>
  <si>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</si>
  <si>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</si>
  <si>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</si>
  <si>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</si>
  <si>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</si>
  <si>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</si>
  <si>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</si>
  <si>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</si>
  <si>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</si>
  <si>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</si>
  <si>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</si>
  <si>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</si>
  <si>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</si>
  <si>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</si>
  <si>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</si>
  <si>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</si>
  <si>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</si>
  <si>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</si>
  <si>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</si>
  <si>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</si>
  <si>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</si>
  <si>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</si>
  <si>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</si>
  <si>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</si>
  <si>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</si>
  <si>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</si>
  <si>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</si>
  <si>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</si>
  <si>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</si>
  <si>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</si>
  <si>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</si>
  <si>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</si>
  <si>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</si>
  <si>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</si>
  <si>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</si>
  <si>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</si>
  <si>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</si>
  <si>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</si>
  <si>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</si>
  <si>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</si>
  <si>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</si>
  <si>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</si>
  <si>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</si>
  <si>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</si>
  <si>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</si>
  <si>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</si>
  <si>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</si>
  <si>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</si>
  <si>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</si>
  <si>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</si>
  <si>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</si>
  <si>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</si>
  <si>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</si>
  <si>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</si>
  <si>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</si>
  <si>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</si>
  <si>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</si>
  <si>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</si>
  <si>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</si>
  <si>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</si>
  <si>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</si>
  <si>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</si>
  <si>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</si>
  <si>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</si>
  <si>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</si>
  <si>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</si>
  <si>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</si>
  <si>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</si>
  <si>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</si>
  <si>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</si>
  <si>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</si>
  <si>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</si>
  <si>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</si>
  <si>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</si>
  <si>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</si>
  <si>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</si>
  <si>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</si>
  <si>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</si>
  <si>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</si>
  <si>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</si>
  <si>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</si>
  <si>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</si>
  <si>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</si>
  <si>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</si>
  <si>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</si>
  <si>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</si>
  <si>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</si>
  <si>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</si>
  <si>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</si>
  <si>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</si>
  <si>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</si>
  <si>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</si>
  <si>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</si>
  <si>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</si>
  <si>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</si>
  <si>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</si>
  <si>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</si>
  <si>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</si>
  <si>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</si>
  <si>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</si>
  <si>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</si>
  <si>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</si>
  <si>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</si>
  <si>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</si>
  <si>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</si>
  <si>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</si>
  <si>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</si>
  <si>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</si>
  <si>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</si>
  <si>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</si>
  <si>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</si>
  <si>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</si>
  <si>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</si>
  <si>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</si>
  <si>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</si>
  <si>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</si>
  <si>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</si>
  <si>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</si>
  <si>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</si>
  <si>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</si>
  <si>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</si>
  <si>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</si>
  <si>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</si>
  <si>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</si>
  <si>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</si>
  <si>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</si>
  <si>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</si>
  <si>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</si>
  <si>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</si>
  <si>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</si>
  <si>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</si>
  <si>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</si>
  <si>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</si>
  <si>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</si>
  <si>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</si>
  <si>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</si>
  <si>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</si>
  <si>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</si>
  <si>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</si>
  <si>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</si>
  <si>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</si>
  <si>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</si>
  <si>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</si>
  <si>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</si>
  <si>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</si>
  <si>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</si>
  <si>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</si>
  <si>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</si>
  <si>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</si>
  <si>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</si>
  <si>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</si>
  <si>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</si>
  <si>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</si>
  <si>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</si>
  <si>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</si>
  <si>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</si>
  <si>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</si>
  <si>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</si>
  <si>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</si>
  <si>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</si>
  <si>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</si>
  <si>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</si>
  <si>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</si>
  <si>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</si>
  <si>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</si>
  <si>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</si>
  <si>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</si>
  <si>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</si>
  <si>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</si>
  <si>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</si>
  <si>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</si>
  <si>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</si>
  <si>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</si>
  <si>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</si>
  <si>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</si>
  <si>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</si>
  <si>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</si>
  <si>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</si>
  <si>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</si>
  <si>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</si>
  <si>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</si>
  <si>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</si>
  <si>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</si>
  <si>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</si>
  <si>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</si>
  <si>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</si>
  <si>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</si>
  <si>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</si>
  <si>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</si>
  <si>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</si>
  <si>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</si>
  <si>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</si>
  <si>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</si>
  <si>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</si>
  <si>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</si>
  <si>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</si>
  <si>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</si>
  <si>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</si>
  <si>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</si>
  <si>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</si>
  <si>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</si>
  <si>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</si>
  <si>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</si>
  <si>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</si>
  <si>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</si>
  <si>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</si>
  <si>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</si>
  <si>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</si>
  <si>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</si>
  <si>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</si>
  <si>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</si>
  <si>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</si>
  <si>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</si>
  <si>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</si>
  <si>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</si>
  <si>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</si>
  <si>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</si>
  <si>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</si>
  <si>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</si>
  <si>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</si>
  <si>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</si>
  <si>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</si>
  <si>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</si>
  <si>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</si>
  <si>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</si>
  <si>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</si>
  <si>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</si>
  <si>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</si>
  <si>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</si>
  <si>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</si>
  <si>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</si>
  <si>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</si>
  <si>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</si>
  <si>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</si>
  <si>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</si>
  <si>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</si>
  <si>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</si>
  <si>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</si>
  <si>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</si>
  <si>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</si>
  <si>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</si>
  <si>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</si>
  <si>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</si>
  <si>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</si>
  <si>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</si>
  <si>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</si>
  <si>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</si>
  <si>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</si>
  <si>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</si>
  <si>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</si>
  <si>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</si>
  <si>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</si>
  <si>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</si>
  <si>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</si>
  <si>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</si>
  <si>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</si>
  <si>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</si>
  <si>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</si>
  <si>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</si>
  <si>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</si>
  <si>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</si>
  <si>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</si>
  <si>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</si>
  <si>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</si>
  <si>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</si>
  <si>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</si>
  <si>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</si>
  <si>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</si>
  <si>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</si>
  <si>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</si>
  <si>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</si>
  <si>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</si>
  <si>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</si>
  <si>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</si>
  <si>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</si>
  <si>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</si>
  <si>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</si>
  <si>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</si>
  <si>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</si>
  <si>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</si>
  <si>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</si>
  <si>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</si>
  <si>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</si>
  <si>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</si>
  <si>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</si>
  <si>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</si>
  <si>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</si>
  <si>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</si>
  <si>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</si>
  <si>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</si>
  <si>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</si>
  <si>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</si>
  <si>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</si>
  <si>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</si>
  <si>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</si>
  <si>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</si>
  <si>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</si>
  <si>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</si>
  <si>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</si>
  <si>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</si>
  <si>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</si>
  <si>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</si>
  <si>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</si>
  <si>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</si>
  <si>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</si>
  <si>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</si>
  <si>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</si>
  <si>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</si>
  <si>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</si>
  <si>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</si>
  <si>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</si>
  <si>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</si>
  <si>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</si>
  <si>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</si>
  <si>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</si>
  <si>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</si>
  <si>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</si>
  <si>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</si>
  <si>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</si>
  <si>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</si>
  <si>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</si>
  <si>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</si>
  <si>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</si>
  <si>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</si>
  <si>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</si>
  <si>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</si>
  <si>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</si>
  <si>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</si>
  <si>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</si>
  <si>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</si>
  <si>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</si>
  <si>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</si>
  <si>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</si>
  <si>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</si>
  <si>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</si>
  <si>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</si>
  <si>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</si>
  <si>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</si>
  <si>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</si>
  <si>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</si>
  <si>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</si>
  <si>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</si>
  <si>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</si>
  <si>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</si>
  <si>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</si>
  <si>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</si>
  <si>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</si>
  <si>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</si>
  <si>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</si>
  <si>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</si>
  <si>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</si>
  <si>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</si>
  <si>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</si>
  <si>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</si>
  <si>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</si>
  <si>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</si>
  <si>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</si>
  <si>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</si>
  <si>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</si>
  <si>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</si>
  <si>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</si>
  <si>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</si>
  <si>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</si>
  <si>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</si>
  <si>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</si>
  <si>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</si>
  <si>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</si>
  <si>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</si>
  <si>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</si>
  <si>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</si>
  <si>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</si>
  <si>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</si>
  <si>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</si>
  <si>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</si>
  <si>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</si>
  <si>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</si>
  <si>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</si>
  <si>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</si>
  <si>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</si>
  <si>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</si>
  <si>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</si>
  <si>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</si>
  <si>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</si>
  <si>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</si>
  <si>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</si>
  <si>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</si>
  <si>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</si>
  <si>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</si>
  <si>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</si>
  <si>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</si>
  <si>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</si>
  <si>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</si>
  <si>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</si>
  <si>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</si>
  <si>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</si>
  <si>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</si>
  <si>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</si>
  <si>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</si>
  <si>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</si>
  <si>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</si>
  <si>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</si>
  <si>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</si>
  <si>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</si>
  <si>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</si>
  <si>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</si>
  <si>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</si>
  <si>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</si>
  <si>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</si>
  <si>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</si>
  <si>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</si>
  <si>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</si>
  <si>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</si>
  <si>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</si>
  <si>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</si>
  <si>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</si>
  <si>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</si>
  <si>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</si>
  <si>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</si>
  <si>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</si>
  <si>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</si>
  <si>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</si>
  <si>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</si>
  <si>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</si>
  <si>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</si>
  <si>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</si>
  <si>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</si>
  <si>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</si>
  <si>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</si>
  <si>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</si>
  <si>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</si>
  <si>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</si>
  <si>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</si>
  <si>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</si>
  <si>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</si>
  <si>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</si>
  <si>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</si>
  <si>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</si>
  <si>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</si>
  <si>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</si>
  <si>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</si>
  <si>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</si>
  <si>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</si>
  <si>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</si>
  <si>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</si>
  <si>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</si>
  <si>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</si>
  <si>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</si>
  <si>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</si>
  <si>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</si>
  <si>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</si>
  <si>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</si>
  <si>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</si>
  <si>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</si>
  <si>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</si>
  <si>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</si>
  <si>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</si>
  <si>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</si>
  <si>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</si>
  <si>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</si>
  <si>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</si>
  <si>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</si>
  <si>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</si>
  <si>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</si>
  <si>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</si>
  <si>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</si>
  <si>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</si>
  <si>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</si>
  <si>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</si>
  <si>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</si>
  <si>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</si>
  <si>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</si>
  <si>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</si>
  <si>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</si>
  <si>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</si>
  <si>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</si>
  <si>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</si>
  <si>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</si>
  <si>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</si>
  <si>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</si>
  <si>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</si>
  <si>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</si>
  <si>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</si>
  <si>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</si>
  <si>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</si>
  <si>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</si>
  <si>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</si>
  <si>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</si>
  <si>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</si>
  <si>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</si>
  <si>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</si>
  <si>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</si>
  <si>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</si>
  <si>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</si>
  <si>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</si>
  <si>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</si>
  <si>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</si>
  <si>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</si>
  <si>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</si>
  <si>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</si>
  <si>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</si>
  <si>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</si>
  <si>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</si>
  <si>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</si>
  <si>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</si>
  <si>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</si>
  <si>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</si>
  <si>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</si>
  <si>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</si>
  <si>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</si>
  <si>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</si>
  <si>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</si>
  <si>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</si>
  <si>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</si>
  <si>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</si>
  <si>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</si>
  <si>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</si>
  <si>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</si>
  <si>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</si>
  <si>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</si>
  <si>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</si>
  <si>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</si>
  <si>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</si>
  <si>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</si>
  <si>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</si>
  <si>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</si>
  <si>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</si>
  <si>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</si>
  <si>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</si>
  <si>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</si>
  <si>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</si>
  <si>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</si>
  <si>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</si>
  <si>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</si>
  <si>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</si>
  <si>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</si>
  <si>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</si>
  <si>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</si>
  <si>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</si>
  <si>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</si>
  <si>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</si>
  <si>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</si>
  <si>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</si>
  <si>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</si>
  <si>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</si>
  <si>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</si>
  <si>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</si>
  <si>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</si>
  <si>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</si>
  <si>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</si>
  <si>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</si>
  <si>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</si>
  <si>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</si>
  <si>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</si>
  <si>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</si>
  <si>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</si>
  <si>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</si>
  <si>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</si>
  <si>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</si>
  <si>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</si>
  <si>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</si>
  <si>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</si>
  <si>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</si>
  <si>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</si>
  <si>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</si>
  <si>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</si>
  <si>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</si>
  <si>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</si>
  <si>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</si>
  <si>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</si>
  <si>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</si>
  <si>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</si>
  <si>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</si>
  <si>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</si>
  <si>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</si>
  <si>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</si>
  <si>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</si>
  <si>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</si>
  <si>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</si>
  <si>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</si>
  <si>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</si>
  <si>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</si>
  <si>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</si>
  <si>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</si>
  <si>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</si>
  <si>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</si>
  <si>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</si>
  <si>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</si>
  <si>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</si>
  <si>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</si>
  <si>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</si>
  <si>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</si>
  <si>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</si>
  <si>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</si>
  <si>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</si>
  <si>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</si>
  <si>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</si>
  <si>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</si>
  <si>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</si>
  <si>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</si>
  <si>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</si>
  <si>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</si>
  <si>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</si>
  <si>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</si>
  <si>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</si>
  <si>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</si>
  <si>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</si>
  <si>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</si>
  <si>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</si>
  <si>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</si>
  <si>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</si>
  <si>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</si>
  <si>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</si>
  <si>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</si>
  <si>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</si>
  <si>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</si>
  <si>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</si>
  <si>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</si>
  <si>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</si>
  <si>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</si>
  <si>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</si>
  <si>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</si>
  <si>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</si>
  <si>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</si>
  <si>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</si>
  <si>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</si>
  <si>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</si>
  <si>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</si>
  <si>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</si>
  <si>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</si>
  <si>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</si>
  <si>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</si>
  <si>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</si>
  <si>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</si>
  <si>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</si>
  <si>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</si>
  <si>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</si>
  <si>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</si>
  <si>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</si>
  <si>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</si>
  <si>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</si>
  <si>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</si>
  <si>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</si>
  <si>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</si>
  <si>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</si>
  <si>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</si>
  <si>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</si>
  <si>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</si>
  <si>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</si>
  <si>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</si>
  <si>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</si>
  <si>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</si>
  <si>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</si>
  <si>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</si>
  <si>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</si>
  <si>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</si>
  <si>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</si>
  <si>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</si>
  <si>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</si>
  <si>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</si>
  <si>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</si>
  <si>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</si>
  <si>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</si>
  <si>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</si>
  <si>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</si>
  <si>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</si>
  <si>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</si>
  <si>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</si>
  <si>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</si>
  <si>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</si>
  <si>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</si>
  <si>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</si>
  <si>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</si>
  <si>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</si>
  <si>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</si>
  <si>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</si>
  <si>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</si>
  <si>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</si>
  <si>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</si>
  <si>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</si>
  <si>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</si>
  <si>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</si>
  <si>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</si>
  <si>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</si>
  <si>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</si>
  <si>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</si>
  <si>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</si>
  <si>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</si>
  <si>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</si>
  <si>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</si>
  <si>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</si>
  <si>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</si>
  <si>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</si>
  <si>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</si>
  <si>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</si>
  <si>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</si>
  <si>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</si>
  <si>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</si>
  <si>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</si>
  <si>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</si>
  <si>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</si>
  <si>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</si>
  <si>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</si>
  <si>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</si>
  <si>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</si>
  <si>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</si>
  <si>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</si>
  <si>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</si>
  <si>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</si>
  <si>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</si>
  <si>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</si>
  <si>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</si>
  <si>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</si>
  <si>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</si>
  <si>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</si>
  <si>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</si>
  <si>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</si>
  <si>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</si>
  <si>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</si>
  <si>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</si>
  <si>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</si>
  <si>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</si>
  <si>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</si>
  <si>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</si>
  <si>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</si>
  <si>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</si>
  <si>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</si>
  <si>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</si>
  <si>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</si>
  <si>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</si>
  <si>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</si>
  <si>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</si>
  <si>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</si>
  <si>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</si>
  <si>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</si>
  <si>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</si>
  <si>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</si>
  <si>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</si>
  <si>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</si>
  <si>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</si>
  <si>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</si>
  <si>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</si>
  <si>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</si>
  <si>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</si>
  <si>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</si>
  <si>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</si>
  <si>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</si>
  <si>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</si>
  <si>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</si>
  <si>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</si>
  <si>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</si>
  <si>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</si>
  <si>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</si>
  <si>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</si>
  <si>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</si>
  <si>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</si>
  <si>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</si>
  <si>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</si>
  <si>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</si>
  <si>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</si>
  <si>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</si>
  <si>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</si>
  <si>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</si>
  <si>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</si>
  <si>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</si>
  <si>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</si>
  <si>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</si>
  <si>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</si>
  <si>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</si>
  <si>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</si>
  <si>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</si>
  <si>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</si>
  <si>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</si>
  <si>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</si>
  <si>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</si>
  <si>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</si>
  <si>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</si>
  <si>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</si>
  <si>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</si>
  <si>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</si>
  <si>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</si>
  <si>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</si>
  <si>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</si>
  <si>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</si>
  <si>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</si>
  <si>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</si>
  <si>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</si>
  <si>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</si>
  <si>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</si>
  <si>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</si>
  <si>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</si>
  <si>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</si>
  <si>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</si>
  <si>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</si>
  <si>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</si>
  <si>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</si>
  <si>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</si>
  <si>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</si>
  <si>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</si>
  <si>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</si>
  <si>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</si>
  <si>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</si>
  <si>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</si>
  <si>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</si>
  <si>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</si>
  <si>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</si>
  <si>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</si>
  <si>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</si>
  <si>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</si>
  <si>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</si>
  <si>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</si>
  <si>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</si>
  <si>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</si>
  <si>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</si>
  <si>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</si>
  <si>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</si>
  <si>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</si>
  <si>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</si>
  <si>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</si>
  <si>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</si>
  <si>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</si>
  <si>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</si>
  <si>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</si>
  <si>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</si>
  <si>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</si>
  <si>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</si>
  <si>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</si>
  <si>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</si>
  <si>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</si>
  <si>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</si>
  <si>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</si>
  <si>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</si>
  <si>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</si>
  <si>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</si>
  <si>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</si>
  <si>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</si>
  <si>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</si>
  <si>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</si>
  <si>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</si>
  <si>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</si>
  <si>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</si>
  <si>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</si>
  <si>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</si>
  <si>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</si>
  <si>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</si>
  <si>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</si>
  <si>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</si>
  <si>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</si>
  <si>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</si>
  <si>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</si>
  <si>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</si>
  <si>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</si>
  <si>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</si>
  <si>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</si>
  <si>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</si>
  <si>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</si>
  <si>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</si>
  <si>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</si>
  <si>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</si>
  <si>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</si>
  <si>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</si>
  <si>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</si>
  <si>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</si>
  <si>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</si>
  <si>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</si>
  <si>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</si>
  <si>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</si>
  <si>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</si>
  <si>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</si>
  <si>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</si>
  <si>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</si>
  <si>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</si>
  <si>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</si>
  <si>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</si>
  <si>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</si>
  <si>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</si>
  <si>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</si>
  <si>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</si>
  <si>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</si>
  <si>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</si>
  <si>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</si>
  <si>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</si>
  <si>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</si>
  <si>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</si>
  <si>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</si>
  <si>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</si>
  <si>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</si>
  <si>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</si>
  <si>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73009</t>
  </si>
  <si>
    <t>BORGLOON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</si>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</sst>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CE5292E-DD94-4D0A-823C-F09BED12DB4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73009</v>
      </c>
      <c r="B6" s="382"/>
      <c r="C6" s="383"/>
    </row>
    <row r="7" spans="1:7" s="380" customFormat="1" ht="15.75" customHeight="1">
      <c r="A7" s="384" t="str">
        <f>txtMunicipality</f>
        <v>BORGLOON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0.20829533500682043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0.20829533500682043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4272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3357</v>
      </c>
      <c r="C14" s="324"/>
      <c r="D14" s="324"/>
      <c r="E14" s="324"/>
      <c r="F14" s="324"/>
    </row>
    <row r="15" spans="1:6">
      <c r="A15" s="1235" t="s">
        <v>177</v>
      </c>
      <c r="B15" s="1236">
        <v>6</v>
      </c>
      <c r="C15" s="324"/>
      <c r="D15" s="324"/>
      <c r="E15" s="324"/>
      <c r="F15" s="324"/>
    </row>
    <row r="16" spans="1:6">
      <c r="A16" s="1235" t="s">
        <v>6</v>
      </c>
      <c r="B16" s="1236">
        <v>240</v>
      </c>
      <c r="C16" s="324"/>
      <c r="D16" s="324"/>
      <c r="E16" s="324"/>
      <c r="F16" s="324"/>
    </row>
    <row r="17" spans="1:6">
      <c r="A17" s="1235" t="s">
        <v>7</v>
      </c>
      <c r="B17" s="1236">
        <v>823</v>
      </c>
      <c r="C17" s="324"/>
      <c r="D17" s="324"/>
      <c r="E17" s="324"/>
      <c r="F17" s="324"/>
    </row>
    <row r="18" spans="1:6">
      <c r="A18" s="1235" t="s">
        <v>8</v>
      </c>
      <c r="B18" s="1236">
        <v>818</v>
      </c>
      <c r="C18" s="324"/>
      <c r="D18" s="324"/>
      <c r="E18" s="324"/>
      <c r="F18" s="324"/>
    </row>
    <row r="19" spans="1:6">
      <c r="A19" s="1235" t="s">
        <v>9</v>
      </c>
      <c r="B19" s="1236">
        <v>640</v>
      </c>
      <c r="C19" s="324"/>
      <c r="D19" s="324"/>
      <c r="E19" s="324"/>
      <c r="F19" s="324"/>
    </row>
    <row r="20" spans="1:6">
      <c r="A20" s="1235" t="s">
        <v>10</v>
      </c>
      <c r="B20" s="1236">
        <v>486</v>
      </c>
      <c r="C20" s="324"/>
      <c r="D20" s="324"/>
      <c r="E20" s="324"/>
      <c r="F20" s="324"/>
    </row>
    <row r="21" spans="1:6">
      <c r="A21" s="1235" t="s">
        <v>11</v>
      </c>
      <c r="B21" s="1236">
        <v>3679</v>
      </c>
      <c r="C21" s="324"/>
      <c r="D21" s="324"/>
      <c r="E21" s="324"/>
      <c r="F21" s="324"/>
    </row>
    <row r="22" spans="1:6">
      <c r="A22" s="1235" t="s">
        <v>12</v>
      </c>
      <c r="B22" s="1236">
        <v>8346</v>
      </c>
      <c r="C22" s="324"/>
      <c r="D22" s="324"/>
      <c r="E22" s="324"/>
      <c r="F22" s="324"/>
    </row>
    <row r="23" spans="1:6">
      <c r="A23" s="1235" t="s">
        <v>13</v>
      </c>
      <c r="B23" s="1236">
        <v>204</v>
      </c>
      <c r="C23" s="324"/>
      <c r="D23" s="324"/>
      <c r="E23" s="324"/>
      <c r="F23" s="324"/>
    </row>
    <row r="24" spans="1:6">
      <c r="A24" s="1235" t="s">
        <v>14</v>
      </c>
      <c r="B24" s="1236">
        <v>10</v>
      </c>
      <c r="C24" s="324"/>
      <c r="D24" s="324"/>
      <c r="E24" s="324"/>
      <c r="F24" s="324"/>
    </row>
    <row r="25" spans="1:6">
      <c r="A25" s="1235" t="s">
        <v>15</v>
      </c>
      <c r="B25" s="1236">
        <v>1003</v>
      </c>
      <c r="C25" s="324"/>
      <c r="D25" s="324"/>
      <c r="E25" s="324"/>
      <c r="F25" s="324"/>
    </row>
    <row r="26" spans="1:6">
      <c r="A26" s="1235" t="s">
        <v>16</v>
      </c>
      <c r="B26" s="1236">
        <v>75</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51</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7</v>
      </c>
      <c r="F36" s="1236">
        <v>3545358</v>
      </c>
    </row>
    <row r="37" spans="1:6">
      <c r="A37" s="1235" t="s">
        <v>24</v>
      </c>
      <c r="B37" s="1235" t="s">
        <v>27</v>
      </c>
      <c r="C37" s="1236">
        <v>0</v>
      </c>
      <c r="D37" s="1236">
        <v>0</v>
      </c>
      <c r="E37" s="1236">
        <v>0</v>
      </c>
      <c r="F37" s="1236">
        <v>0</v>
      </c>
    </row>
    <row r="38" spans="1:6">
      <c r="A38" s="1235" t="s">
        <v>24</v>
      </c>
      <c r="B38" s="1235" t="s">
        <v>28</v>
      </c>
      <c r="C38" s="1236">
        <v>1</v>
      </c>
      <c r="D38" s="1236">
        <v>13000189</v>
      </c>
      <c r="E38" s="1236">
        <v>0</v>
      </c>
      <c r="F38" s="1236">
        <v>0</v>
      </c>
    </row>
    <row r="39" spans="1:6">
      <c r="A39" s="1235" t="s">
        <v>29</v>
      </c>
      <c r="B39" s="1235" t="s">
        <v>30</v>
      </c>
      <c r="C39" s="1236">
        <v>1553</v>
      </c>
      <c r="D39" s="1236">
        <v>27422039</v>
      </c>
      <c r="E39" s="1236">
        <v>4314</v>
      </c>
      <c r="F39" s="1236">
        <v>17925339</v>
      </c>
    </row>
    <row r="40" spans="1:6">
      <c r="A40" s="1235" t="s">
        <v>29</v>
      </c>
      <c r="B40" s="1235" t="s">
        <v>28</v>
      </c>
      <c r="C40" s="1236">
        <v>0</v>
      </c>
      <c r="D40" s="1236">
        <v>0</v>
      </c>
      <c r="E40" s="1236">
        <v>0</v>
      </c>
      <c r="F40" s="1236">
        <v>0</v>
      </c>
    </row>
    <row r="41" spans="1:6">
      <c r="A41" s="1235" t="s">
        <v>31</v>
      </c>
      <c r="B41" s="1235" t="s">
        <v>32</v>
      </c>
      <c r="C41" s="1236">
        <v>16</v>
      </c>
      <c r="D41" s="1236">
        <v>698240</v>
      </c>
      <c r="E41" s="1236">
        <v>62</v>
      </c>
      <c r="F41" s="1236">
        <v>3475922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7</v>
      </c>
      <c r="F44" s="1236">
        <v>42871</v>
      </c>
    </row>
    <row r="45" spans="1:6">
      <c r="A45" s="1235" t="s">
        <v>31</v>
      </c>
      <c r="B45" s="1235" t="s">
        <v>36</v>
      </c>
      <c r="C45" s="1236">
        <v>3</v>
      </c>
      <c r="D45" s="1236">
        <v>23894</v>
      </c>
      <c r="E45" s="1236">
        <v>9</v>
      </c>
      <c r="F45" s="1236">
        <v>1603671</v>
      </c>
    </row>
    <row r="46" spans="1:6">
      <c r="A46" s="1235" t="s">
        <v>31</v>
      </c>
      <c r="B46" s="1235" t="s">
        <v>37</v>
      </c>
      <c r="C46" s="1236">
        <v>0</v>
      </c>
      <c r="D46" s="1236">
        <v>0</v>
      </c>
      <c r="E46" s="1236">
        <v>0</v>
      </c>
      <c r="F46" s="1236">
        <v>0</v>
      </c>
    </row>
    <row r="47" spans="1:6">
      <c r="A47" s="1235" t="s">
        <v>31</v>
      </c>
      <c r="B47" s="1235" t="s">
        <v>38</v>
      </c>
      <c r="C47" s="1236">
        <v>3</v>
      </c>
      <c r="D47" s="1236">
        <v>126958</v>
      </c>
      <c r="E47" s="1236">
        <v>4</v>
      </c>
      <c r="F47" s="1236">
        <v>52300</v>
      </c>
    </row>
    <row r="48" spans="1:6">
      <c r="A48" s="1235" t="s">
        <v>31</v>
      </c>
      <c r="B48" s="1235" t="s">
        <v>28</v>
      </c>
      <c r="C48" s="1236">
        <v>3</v>
      </c>
      <c r="D48" s="1236">
        <v>316091</v>
      </c>
      <c r="E48" s="1236">
        <v>3</v>
      </c>
      <c r="F48" s="1236">
        <v>51497</v>
      </c>
    </row>
    <row r="49" spans="1:6">
      <c r="A49" s="1235" t="s">
        <v>31</v>
      </c>
      <c r="B49" s="1235" t="s">
        <v>39</v>
      </c>
      <c r="C49" s="1236">
        <v>0</v>
      </c>
      <c r="D49" s="1236">
        <v>0</v>
      </c>
      <c r="E49" s="1236">
        <v>0</v>
      </c>
      <c r="F49" s="1236">
        <v>0</v>
      </c>
    </row>
    <row r="50" spans="1:6">
      <c r="A50" s="1235" t="s">
        <v>31</v>
      </c>
      <c r="B50" s="1235" t="s">
        <v>40</v>
      </c>
      <c r="C50" s="1236">
        <v>0</v>
      </c>
      <c r="D50" s="1236">
        <v>0</v>
      </c>
      <c r="E50" s="1236">
        <v>9</v>
      </c>
      <c r="F50" s="1236">
        <v>10391339</v>
      </c>
    </row>
    <row r="51" spans="1:6">
      <c r="A51" s="1235" t="s">
        <v>41</v>
      </c>
      <c r="B51" s="1235" t="s">
        <v>42</v>
      </c>
      <c r="C51" s="1236">
        <v>5</v>
      </c>
      <c r="D51" s="1236">
        <v>128043</v>
      </c>
      <c r="E51" s="1236">
        <v>111</v>
      </c>
      <c r="F51" s="1236">
        <v>3270360</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56</v>
      </c>
      <c r="F54" s="1236">
        <v>786106</v>
      </c>
    </row>
    <row r="55" spans="1:6">
      <c r="A55" s="1235" t="s">
        <v>45</v>
      </c>
      <c r="B55" s="1235" t="s">
        <v>28</v>
      </c>
      <c r="C55" s="1236">
        <v>0</v>
      </c>
      <c r="D55" s="1236">
        <v>0</v>
      </c>
      <c r="E55" s="1236">
        <v>0</v>
      </c>
      <c r="F55" s="1236">
        <v>0</v>
      </c>
    </row>
    <row r="56" spans="1:6">
      <c r="A56" s="1235" t="s">
        <v>47</v>
      </c>
      <c r="B56" s="1235" t="s">
        <v>28</v>
      </c>
      <c r="C56" s="1236">
        <v>29</v>
      </c>
      <c r="D56" s="1236">
        <v>1454419</v>
      </c>
      <c r="E56" s="1236">
        <v>102</v>
      </c>
      <c r="F56" s="1236">
        <v>1332048</v>
      </c>
    </row>
    <row r="57" spans="1:6">
      <c r="A57" s="1235" t="s">
        <v>48</v>
      </c>
      <c r="B57" s="1235" t="s">
        <v>49</v>
      </c>
      <c r="C57" s="1236">
        <v>16</v>
      </c>
      <c r="D57" s="1236">
        <v>1184759</v>
      </c>
      <c r="E57" s="1236">
        <v>61</v>
      </c>
      <c r="F57" s="1236">
        <v>1349058</v>
      </c>
    </row>
    <row r="58" spans="1:6">
      <c r="A58" s="1235" t="s">
        <v>48</v>
      </c>
      <c r="B58" s="1235" t="s">
        <v>50</v>
      </c>
      <c r="C58" s="1236">
        <v>10</v>
      </c>
      <c r="D58" s="1236">
        <v>1254281</v>
      </c>
      <c r="E58" s="1236">
        <v>17</v>
      </c>
      <c r="F58" s="1236">
        <v>464037</v>
      </c>
    </row>
    <row r="59" spans="1:6">
      <c r="A59" s="1235" t="s">
        <v>48</v>
      </c>
      <c r="B59" s="1235" t="s">
        <v>51</v>
      </c>
      <c r="C59" s="1236">
        <v>31</v>
      </c>
      <c r="D59" s="1236">
        <v>1664847</v>
      </c>
      <c r="E59" s="1236">
        <v>96</v>
      </c>
      <c r="F59" s="1236">
        <v>2660253</v>
      </c>
    </row>
    <row r="60" spans="1:6">
      <c r="A60" s="1235" t="s">
        <v>48</v>
      </c>
      <c r="B60" s="1235" t="s">
        <v>52</v>
      </c>
      <c r="C60" s="1236">
        <v>27</v>
      </c>
      <c r="D60" s="1236">
        <v>2162819</v>
      </c>
      <c r="E60" s="1236">
        <v>41</v>
      </c>
      <c r="F60" s="1236">
        <v>1361114</v>
      </c>
    </row>
    <row r="61" spans="1:6">
      <c r="A61" s="1235" t="s">
        <v>48</v>
      </c>
      <c r="B61" s="1235" t="s">
        <v>53</v>
      </c>
      <c r="C61" s="1236">
        <v>65</v>
      </c>
      <c r="D61" s="1236">
        <v>2550292</v>
      </c>
      <c r="E61" s="1236">
        <v>197</v>
      </c>
      <c r="F61" s="1236">
        <v>5394569</v>
      </c>
    </row>
    <row r="62" spans="1:6">
      <c r="A62" s="1235" t="s">
        <v>48</v>
      </c>
      <c r="B62" s="1235" t="s">
        <v>54</v>
      </c>
      <c r="C62" s="1236">
        <v>6</v>
      </c>
      <c r="D62" s="1236">
        <v>536490</v>
      </c>
      <c r="E62" s="1236">
        <v>6</v>
      </c>
      <c r="F62" s="1236">
        <v>182465</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34770</v>
      </c>
      <c r="E68" s="1238">
        <v>8</v>
      </c>
      <c r="F68" s="1238">
        <v>81451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71092977</v>
      </c>
      <c r="E73" s="443"/>
      <c r="F73" s="324"/>
    </row>
    <row r="74" spans="1:6">
      <c r="A74" s="1235" t="s">
        <v>63</v>
      </c>
      <c r="B74" s="1235" t="s">
        <v>730</v>
      </c>
      <c r="C74" s="1248" t="s">
        <v>731</v>
      </c>
      <c r="D74" s="1236">
        <v>8427543.7071365379</v>
      </c>
      <c r="E74" s="443"/>
      <c r="F74" s="324"/>
    </row>
    <row r="75" spans="1:6">
      <c r="A75" s="1235" t="s">
        <v>64</v>
      </c>
      <c r="B75" s="1235" t="s">
        <v>728</v>
      </c>
      <c r="C75" s="1248" t="s">
        <v>732</v>
      </c>
      <c r="D75" s="1236">
        <v>15100462</v>
      </c>
      <c r="E75" s="443"/>
      <c r="F75" s="324"/>
    </row>
    <row r="76" spans="1:6">
      <c r="A76" s="1235" t="s">
        <v>64</v>
      </c>
      <c r="B76" s="1235" t="s">
        <v>730</v>
      </c>
      <c r="C76" s="1248" t="s">
        <v>733</v>
      </c>
      <c r="D76" s="1236">
        <v>556745.70713653788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374408.58572692436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1209.3184633702906</v>
      </c>
      <c r="C91" s="324"/>
      <c r="D91" s="324"/>
      <c r="E91" s="324"/>
      <c r="F91" s="324"/>
    </row>
    <row r="92" spans="1:6">
      <c r="A92" s="1230" t="s">
        <v>68</v>
      </c>
      <c r="B92" s="1231">
        <v>1754.6926273730835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639</v>
      </c>
      <c r="C97" s="324"/>
      <c r="D97" s="324"/>
      <c r="E97" s="324"/>
      <c r="F97" s="324"/>
    </row>
    <row r="98" spans="1:6">
      <c r="A98" s="1235" t="s">
        <v>71</v>
      </c>
      <c r="B98" s="1236">
        <v>2</v>
      </c>
      <c r="C98" s="324"/>
      <c r="D98" s="324"/>
      <c r="E98" s="324"/>
      <c r="F98" s="324"/>
    </row>
    <row r="99" spans="1:6">
      <c r="A99" s="1235" t="s">
        <v>72</v>
      </c>
      <c r="B99" s="1236">
        <v>37</v>
      </c>
      <c r="C99" s="324"/>
      <c r="D99" s="324"/>
      <c r="E99" s="324"/>
      <c r="F99" s="324"/>
    </row>
    <row r="100" spans="1:6">
      <c r="A100" s="1235" t="s">
        <v>73</v>
      </c>
      <c r="B100" s="1236">
        <v>82</v>
      </c>
      <c r="C100" s="324"/>
      <c r="D100" s="324"/>
      <c r="E100" s="324"/>
      <c r="F100" s="324"/>
    </row>
    <row r="101" spans="1:6">
      <c r="A101" s="1235" t="s">
        <v>74</v>
      </c>
      <c r="B101" s="1236">
        <v>36</v>
      </c>
      <c r="C101" s="324"/>
      <c r="D101" s="324"/>
      <c r="E101" s="324"/>
      <c r="F101" s="324"/>
    </row>
    <row r="102" spans="1:6">
      <c r="A102" s="1235" t="s">
        <v>75</v>
      </c>
      <c r="B102" s="1236">
        <v>43</v>
      </c>
      <c r="C102" s="324"/>
      <c r="D102" s="324"/>
      <c r="E102" s="324"/>
      <c r="F102" s="324"/>
    </row>
    <row r="103" spans="1:6">
      <c r="A103" s="1235" t="s">
        <v>76</v>
      </c>
      <c r="B103" s="1236">
        <v>138</v>
      </c>
      <c r="C103" s="324"/>
      <c r="D103" s="324"/>
      <c r="E103" s="324"/>
      <c r="F103" s="324"/>
    </row>
    <row r="104" spans="1:6">
      <c r="A104" s="1235" t="s">
        <v>77</v>
      </c>
      <c r="B104" s="1236">
        <v>2871</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12</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51559.521750943029</v>
      </c>
      <c r="C3" s="43" t="s">
        <v>163</v>
      </c>
      <c r="D3" s="43"/>
      <c r="E3" s="155"/>
      <c r="F3" s="43"/>
      <c r="G3" s="43"/>
      <c r="H3" s="43"/>
      <c r="I3" s="43"/>
      <c r="J3" s="43"/>
      <c r="K3" s="96"/>
    </row>
    <row r="4" spans="1:11">
      <c r="A4" s="350" t="s">
        <v>164</v>
      </c>
      <c r="B4" s="49">
        <f>IF(ISERROR('SEAP template'!B78+'SEAP template'!C78),0,'SEAP template'!B78+'SEAP template'!C78)</f>
        <v>2964.0110907433741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0.20829533500682043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786.10599999999999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786.10599999999999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0.20829533500682043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163.74221262087158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17925.339</v>
      </c>
      <c r="C5" s="17">
        <f>IF(ISERROR('Eigen informatie GS &amp; warmtenet'!B57),0,'Eigen informatie GS &amp; warmtenet'!B57)</f>
        <v>0</v>
      </c>
      <c r="D5" s="30">
        <f>(SUM(HH_hh_gas_kWh,HH_rest_gas_kWh)/1000)*0.902</f>
        <v>24734.679178000002</v>
      </c>
      <c r="E5" s="17">
        <f>B32*B41</f>
        <v>1346.0345453690481</v>
      </c>
      <c r="F5" s="17">
        <f>B36*B45</f>
        <v>45946.075718730979</v>
      </c>
      <c r="G5" s="18"/>
      <c r="H5" s="17"/>
      <c r="I5" s="17"/>
      <c r="J5" s="17">
        <f>B35*B44+C35*C44</f>
        <v>1034.5891386889434</v>
      </c>
      <c r="K5" s="17"/>
      <c r="L5" s="17"/>
      <c r="M5" s="17"/>
      <c r="N5" s="17">
        <f>B34*B43+C34*C43</f>
        <v>5511.0468730830044</v>
      </c>
      <c r="O5" s="17">
        <f>B52*B53*B54</f>
        <v>21.88666666666667</v>
      </c>
      <c r="P5" s="17">
        <f>B60*B61*B62/1000-B60*B61*B62/1000/B63</f>
        <v>152.53333333333333</v>
      </c>
    </row>
    <row r="6" spans="1:16">
      <c r="A6" s="16" t="s">
        <v>591</v>
      </c>
      <c r="B6" s="727">
        <f>kWh_PV_kleiner_dan_10kW</f>
        <v>1209.3184633702906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19134.657463370291</v>
      </c>
      <c r="C8" s="21">
        <f>C5</f>
        <v>0</v>
      </c>
      <c r="D8" s="21">
        <f>D5</f>
        <v>24734.679178000002</v>
      </c>
      <c r="E8" s="21">
        <f>E5</f>
        <v>1346.0345453690481</v>
      </c>
      <c r="F8" s="21">
        <f>F5</f>
        <v>45946.075718730979</v>
      </c>
      <c r="G8" s="21"/>
      <c r="H8" s="21"/>
      <c r="I8" s="21"/>
      <c r="J8" s="21">
        <f>J5</f>
        <v>1034.5891386889434</v>
      </c>
      <c r="K8" s="21"/>
      <c r="L8" s="21">
        <f>L5</f>
        <v>0</v>
      </c>
      <c r="M8" s="21">
        <f>M5</f>
        <v>0</v>
      </c>
      <c r="N8" s="21">
        <f>N5</f>
        <v>5511.0468730830044</v>
      </c>
      <c r="O8" s="21">
        <f>O5</f>
        <v>21.88666666666667</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0.20829533500682043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3985.6598865734718</v>
      </c>
      <c r="C12" s="23">
        <f ca="1">C10*C8</f>
        <v>0</v>
      </c>
      <c r="D12" s="23">
        <f>D8*D10</f>
        <v>4996.4051939560004</v>
      </c>
      <c r="E12" s="23">
        <f>E10*E8</f>
        <v>305.54984179877391</v>
      </c>
      <c r="F12" s="23">
        <f>F10*F8</f>
        <v>12267.602216901172</v>
      </c>
      <c r="G12" s="23"/>
      <c r="H12" s="23"/>
      <c r="I12" s="23"/>
      <c r="J12" s="23">
        <f>J10*J8</f>
        <v>366.24455509588597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4272</v>
      </c>
      <c r="C26" s="36"/>
      <c r="D26" s="225"/>
    </row>
    <row r="27" spans="1:5" s="15" customFormat="1">
      <c r="A27" s="227" t="s">
        <v>671</v>
      </c>
      <c r="B27" s="37">
        <f>SUM(HH_hh_gas_aantal,HH_rest_gas_aantal)</f>
        <v>1553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1475.35</v>
      </c>
      <c r="C31" s="34" t="s">
        <v>104</v>
      </c>
      <c r="D31" s="171"/>
    </row>
    <row r="32" spans="1:5">
      <c r="A32" s="168" t="s">
        <v>72</v>
      </c>
      <c r="B32" s="33">
        <f>IF((B21*($B$26-($B$27-0.05*$B$27)-$B$60))&lt;0,0,B21*($B$26-($B$27-0.05*$B$27)-$B$60))</f>
        <v>19.770325619497562</v>
      </c>
      <c r="C32" s="34" t="s">
        <v>104</v>
      </c>
      <c r="D32" s="171"/>
    </row>
    <row r="33" spans="1:6">
      <c r="A33" s="168" t="s">
        <v>73</v>
      </c>
      <c r="B33" s="33">
        <f>IF((B22*($B$26-($B$27-0.05*$B$27)-$B$60))&lt;0,0,B22*($B$26-($B$27-0.05*$B$27)-$B$60))</f>
        <v>566.61484241457993</v>
      </c>
      <c r="C33" s="34" t="s">
        <v>104</v>
      </c>
      <c r="D33" s="171"/>
    </row>
    <row r="34" spans="1:6">
      <c r="A34" s="168" t="s">
        <v>74</v>
      </c>
      <c r="B34" s="33">
        <f>IF((B24*($B$26-($B$27-0.05*$B$27)-$B$60))&lt;0,0,B24*($B$26-($B$27-0.05*$B$27)-$B$60))</f>
        <v>112.98898774393098</v>
      </c>
      <c r="C34" s="33">
        <f>B26*C24</f>
        <v>873.52837012655675</v>
      </c>
      <c r="D34" s="230"/>
    </row>
    <row r="35" spans="1:6">
      <c r="A35" s="168" t="s">
        <v>76</v>
      </c>
      <c r="B35" s="33">
        <f>IF((B19*($B$26-($B$27-0.05*$B$27)-$B$60))&lt;0,0,B19*($B$26-($B$27-0.05*$B$27)-$B$60))</f>
        <v>58.840254819933229</v>
      </c>
      <c r="C35" s="33">
        <f>B35/2</f>
        <v>29.420127409966614</v>
      </c>
      <c r="D35" s="230"/>
    </row>
    <row r="36" spans="1:6">
      <c r="A36" s="168" t="s">
        <v>77</v>
      </c>
      <c r="B36" s="33">
        <f>IF((B18*($B$26-($B$27-0.05*$B$27)-$B$60))&lt;0,0,B18*($B$26-($B$27-0.05*$B$27)-$B$60))</f>
        <v>2030.4355894020584</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11411.496000000003</v>
      </c>
      <c r="C5" s="17">
        <f>IF(ISERROR('Eigen informatie GS &amp; warmtenet'!B58),0,'Eigen informatie GS &amp; warmtenet'!B58)</f>
        <v>0</v>
      </c>
      <c r="D5" s="30">
        <f>SUM(D6:D12)</f>
        <v>8436.8461759999991</v>
      </c>
      <c r="E5" s="17">
        <f>SUM(E6:E12)</f>
        <v>283.26882750788269</v>
      </c>
      <c r="F5" s="17">
        <f>SUM(F6:F12)</f>
        <v>2130.5616393793689</v>
      </c>
      <c r="G5" s="18"/>
      <c r="H5" s="17"/>
      <c r="I5" s="17"/>
      <c r="J5" s="17">
        <f>SUM(J6:J12)</f>
        <v>0</v>
      </c>
      <c r="K5" s="17"/>
      <c r="L5" s="17"/>
      <c r="M5" s="17"/>
      <c r="N5" s="17">
        <f>SUM(N6:N12)</f>
        <v>369.7719169608207</v>
      </c>
      <c r="O5" s="17">
        <f>B38*B39*B40</f>
        <v>0</v>
      </c>
      <c r="P5" s="17">
        <f>B46*B47*B48/1000-B46*B47*B48/1000/B49</f>
        <v>0</v>
      </c>
      <c r="R5" s="32"/>
    </row>
    <row r="6" spans="1:18">
      <c r="A6" s="32" t="s">
        <v>53</v>
      </c>
      <c r="B6" s="37">
        <f>B26</f>
        <v>5394.5690000000004</v>
      </c>
      <c r="C6" s="33"/>
      <c r="D6" s="37">
        <f>IF(ISERROR(TER_kantoor_gas_kWh/1000),0,TER_kantoor_gas_kWh/1000)*0.902</f>
        <v>2300.3633839999998</v>
      </c>
      <c r="E6" s="33">
        <f>$C$26*'E Balans VL '!I12/100/3.6*1000000</f>
        <v>186.60898991136847</v>
      </c>
      <c r="F6" s="33">
        <f>$C$26*('E Balans VL '!L12+'E Balans VL '!N12)/100/3.6*1000000</f>
        <v>823.53823986292628</v>
      </c>
      <c r="G6" s="34"/>
      <c r="H6" s="33"/>
      <c r="I6" s="33"/>
      <c r="J6" s="33">
        <f>$C$26*('E Balans VL '!D12+'E Balans VL '!E12)/100/3.6*1000000</f>
        <v>0</v>
      </c>
      <c r="K6" s="33"/>
      <c r="L6" s="33"/>
      <c r="M6" s="33"/>
      <c r="N6" s="33">
        <f>$C$26*'E Balans VL '!Y12/100/3.6*1000000</f>
        <v>83.159845534779208</v>
      </c>
      <c r="O6" s="33"/>
      <c r="P6" s="33"/>
      <c r="R6" s="32"/>
    </row>
    <row r="7" spans="1:18">
      <c r="A7" s="32" t="s">
        <v>52</v>
      </c>
      <c r="B7" s="37">
        <f t="shared" ref="B7:B12" si="0">B27</f>
        <v>1361.114</v>
      </c>
      <c r="C7" s="33"/>
      <c r="D7" s="37">
        <f>IF(ISERROR(TER_horeca_gas_kWh/1000),0,TER_horeca_gas_kWh/1000)*0.902</f>
        <v>1950.862738</v>
      </c>
      <c r="E7" s="33">
        <f>$C$27*'E Balans VL '!I9/100/3.6*1000000</f>
        <v>74.593372320858819</v>
      </c>
      <c r="F7" s="33">
        <f>$C$27*('E Balans VL '!L9+'E Balans VL '!N9)/100/3.6*1000000</f>
        <v>230.34601785834272</v>
      </c>
      <c r="G7" s="34"/>
      <c r="H7" s="33"/>
      <c r="I7" s="33"/>
      <c r="J7" s="33">
        <f>$C$27*('E Balans VL '!D9+'E Balans VL '!E9)/100/3.6*1000000</f>
        <v>0</v>
      </c>
      <c r="K7" s="33"/>
      <c r="L7" s="33"/>
      <c r="M7" s="33"/>
      <c r="N7" s="33">
        <f>$C$27*'E Balans VL '!Y9/100/3.6*1000000</f>
        <v>0</v>
      </c>
      <c r="O7" s="33"/>
      <c r="P7" s="33"/>
      <c r="R7" s="32"/>
    </row>
    <row r="8" spans="1:18">
      <c r="A8" s="6" t="s">
        <v>51</v>
      </c>
      <c r="B8" s="37">
        <f t="shared" si="0"/>
        <v>2660.2530000000002</v>
      </c>
      <c r="C8" s="33"/>
      <c r="D8" s="37">
        <f>IF(ISERROR(TER_handel_gas_kWh/1000),0,TER_handel_gas_kWh/1000)*0.902</f>
        <v>1501.691994</v>
      </c>
      <c r="E8" s="33">
        <f>$C$28*'E Balans VL '!I13/100/3.6*1000000</f>
        <v>13.458674163721289</v>
      </c>
      <c r="F8" s="33">
        <f>$C$28*('E Balans VL '!L13+'E Balans VL '!N13)/100/3.6*1000000</f>
        <v>404.20463692223404</v>
      </c>
      <c r="G8" s="34"/>
      <c r="H8" s="33"/>
      <c r="I8" s="33"/>
      <c r="J8" s="33">
        <f>$C$28*('E Balans VL '!D13+'E Balans VL '!E13)/100/3.6*1000000</f>
        <v>0</v>
      </c>
      <c r="K8" s="33"/>
      <c r="L8" s="33"/>
      <c r="M8" s="33"/>
      <c r="N8" s="33">
        <f>$C$28*'E Balans VL '!Y13/100/3.6*1000000</f>
        <v>1.2440055158633654</v>
      </c>
      <c r="O8" s="33"/>
      <c r="P8" s="33"/>
      <c r="R8" s="32"/>
    </row>
    <row r="9" spans="1:18">
      <c r="A9" s="32" t="s">
        <v>50</v>
      </c>
      <c r="B9" s="37">
        <f t="shared" si="0"/>
        <v>464.03699999999998</v>
      </c>
      <c r="C9" s="33"/>
      <c r="D9" s="37">
        <f>IF(ISERROR(TER_gezond_gas_kWh/1000),0,TER_gezond_gas_kWh/1000)*0.902</f>
        <v>1131.3614620000001</v>
      </c>
      <c r="E9" s="33">
        <f>$C$29*'E Balans VL '!I10/100/3.6*1000000</f>
        <v>0.16874504078288541</v>
      </c>
      <c r="F9" s="33">
        <f>$C$29*('E Balans VL '!L10+'E Balans VL '!N10)/100/3.6*1000000</f>
        <v>100.26585641966325</v>
      </c>
      <c r="G9" s="34"/>
      <c r="H9" s="33"/>
      <c r="I9" s="33"/>
      <c r="J9" s="33">
        <f>$C$29*('E Balans VL '!D10+'E Balans VL '!E10)/100/3.6*1000000</f>
        <v>0</v>
      </c>
      <c r="K9" s="33"/>
      <c r="L9" s="33"/>
      <c r="M9" s="33"/>
      <c r="N9" s="33">
        <f>$C$29*'E Balans VL '!Y10/100/3.6*1000000</f>
        <v>3.5184556694723872</v>
      </c>
      <c r="O9" s="33"/>
      <c r="P9" s="33"/>
      <c r="R9" s="32"/>
    </row>
    <row r="10" spans="1:18">
      <c r="A10" s="32" t="s">
        <v>49</v>
      </c>
      <c r="B10" s="37">
        <f t="shared" si="0"/>
        <v>1349.058</v>
      </c>
      <c r="C10" s="33"/>
      <c r="D10" s="37">
        <f>IF(ISERROR(TER_ander_gas_kWh/1000),0,TER_ander_gas_kWh/1000)*0.902</f>
        <v>1068.6526180000001</v>
      </c>
      <c r="E10" s="33">
        <f>$C$30*'E Balans VL '!I14/100/3.6*1000000</f>
        <v>8.2125912083370327</v>
      </c>
      <c r="F10" s="33">
        <f>$C$30*('E Balans VL '!L14+'E Balans VL '!N14)/100/3.6*1000000</f>
        <v>357.16233255911999</v>
      </c>
      <c r="G10" s="34"/>
      <c r="H10" s="33"/>
      <c r="I10" s="33"/>
      <c r="J10" s="33">
        <f>$C$30*('E Balans VL '!D14+'E Balans VL '!E14)/100/3.6*1000000</f>
        <v>0</v>
      </c>
      <c r="K10" s="33"/>
      <c r="L10" s="33"/>
      <c r="M10" s="33"/>
      <c r="N10" s="33">
        <f>$C$30*'E Balans VL '!Y14/100/3.6*1000000</f>
        <v>280.97379528234239</v>
      </c>
      <c r="O10" s="33"/>
      <c r="P10" s="33"/>
      <c r="R10" s="32"/>
    </row>
    <row r="11" spans="1:18">
      <c r="A11" s="32" t="s">
        <v>54</v>
      </c>
      <c r="B11" s="37">
        <f t="shared" si="0"/>
        <v>182.465</v>
      </c>
      <c r="C11" s="33"/>
      <c r="D11" s="37">
        <f>IF(ISERROR(TER_onderwijs_gas_kWh/1000),0,TER_onderwijs_gas_kWh/1000)*0.902</f>
        <v>483.91398000000004</v>
      </c>
      <c r="E11" s="33">
        <f>$C$31*'E Balans VL '!I11/100/3.6*1000000</f>
        <v>0.22645486281421226</v>
      </c>
      <c r="F11" s="33">
        <f>$C$31*('E Balans VL '!L11+'E Balans VL '!N11)/100/3.6*1000000</f>
        <v>215.04455575708289</v>
      </c>
      <c r="G11" s="34"/>
      <c r="H11" s="33"/>
      <c r="I11" s="33"/>
      <c r="J11" s="33">
        <f>$C$31*('E Balans VL '!D11+'E Balans VL '!E11)/100/3.6*1000000</f>
        <v>0</v>
      </c>
      <c r="K11" s="33"/>
      <c r="L11" s="33"/>
      <c r="M11" s="33"/>
      <c r="N11" s="33">
        <f>$C$31*'E Balans VL '!Y11/100/3.6*1000000</f>
        <v>0.87581495836329681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11411.496000000003</v>
      </c>
      <c r="C16" s="21">
        <f ca="1">C5+C13+C14</f>
        <v>0</v>
      </c>
      <c r="D16" s="21">
        <f t="shared" ref="D16:N16" ca="1" si="1">MAX((D5+D13+D14),0)</f>
        <v>8436.8461759999991</v>
      </c>
      <c r="E16" s="21">
        <f t="shared" si="1"/>
        <v>283.26882750788269</v>
      </c>
      <c r="F16" s="21">
        <f t="shared" ca="1" si="1"/>
        <v>2130.5616393793689</v>
      </c>
      <c r="G16" s="21">
        <f t="shared" si="1"/>
        <v>0</v>
      </c>
      <c r="H16" s="21">
        <f t="shared" si="1"/>
        <v>0</v>
      </c>
      <c r="I16" s="21">
        <f t="shared" si="1"/>
        <v>0</v>
      </c>
      <c r="J16" s="21">
        <f t="shared" si="1"/>
        <v>0</v>
      </c>
      <c r="K16" s="21">
        <f t="shared" si="1"/>
        <v>0</v>
      </c>
      <c r="L16" s="21">
        <f t="shared" ca="1" si="1"/>
        <v>0</v>
      </c>
      <c r="M16" s="21">
        <f t="shared" si="1"/>
        <v>0</v>
      </c>
      <c r="N16" s="21">
        <f t="shared" ca="1" si="1"/>
        <v>369.7719169608207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0.20829533500682043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2376.9613822489919</v>
      </c>
      <c r="C20" s="23">
        <f t="shared" ref="C20:P20" ca="1" si="2">C16*C18</f>
        <v>0</v>
      </c>
      <c r="D20" s="23">
        <f t="shared" ca="1" si="2"/>
        <v>1704.2429275519999</v>
      </c>
      <c r="E20" s="23">
        <f t="shared" si="2"/>
        <v>64.30202384428938</v>
      </c>
      <c r="F20" s="23">
        <f t="shared" ca="1" si="2"/>
        <v>568.85995771429157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5394.5690000000004</v>
      </c>
      <c r="C26" s="39">
        <f>IF(ISERROR(B26*3.6/1000000/'E Balans VL '!Z12*100),0,B26*3.6/1000000/'E Balans VL '!Z12*100)</f>
        <v>0.11218386920146754</v>
      </c>
      <c r="D26" s="233" t="s">
        <v>676</v>
      </c>
      <c r="F26" s="6"/>
    </row>
    <row r="27" spans="1:18">
      <c r="A27" s="228" t="s">
        <v>52</v>
      </c>
      <c r="B27" s="33">
        <f>IF(ISERROR(TER_horeca_ele_kWh/1000),0,TER_horeca_ele_kWh/1000)</f>
        <v>1361.114</v>
      </c>
      <c r="C27" s="39">
        <f>IF(ISERROR(B27*3.6/1000000/'E Balans VL '!Z9*100),0,B27*3.6/1000000/'E Balans VL '!Z9*100)</f>
        <v>0.11195259241441123</v>
      </c>
      <c r="D27" s="233" t="s">
        <v>676</v>
      </c>
      <c r="F27" s="6"/>
    </row>
    <row r="28" spans="1:18">
      <c r="A28" s="168" t="s">
        <v>51</v>
      </c>
      <c r="B28" s="33">
        <f>IF(ISERROR(TER_handel_ele_kWh/1000),0,TER_handel_ele_kWh/1000)</f>
        <v>2660.2530000000002</v>
      </c>
      <c r="C28" s="39">
        <f>IF(ISERROR(B28*3.6/1000000/'E Balans VL '!Z13*100),0,B28*3.6/1000000/'E Balans VL '!Z13*100)</f>
        <v>7.3635282974483185E-2</v>
      </c>
      <c r="D28" s="233" t="s">
        <v>676</v>
      </c>
      <c r="F28" s="6"/>
    </row>
    <row r="29" spans="1:18">
      <c r="A29" s="228" t="s">
        <v>50</v>
      </c>
      <c r="B29" s="33">
        <f>IF(ISERROR(TER_gezond_ele_kWh/1000),0,TER_gezond_ele_kWh/1000)</f>
        <v>464.03699999999998</v>
      </c>
      <c r="C29" s="39">
        <f>IF(ISERROR(B29*3.6/1000000/'E Balans VL '!Z10*100),0,B29*3.6/1000000/'E Balans VL '!Z10*100)</f>
        <v>5.2920051695989803E-2</v>
      </c>
      <c r="D29" s="233" t="s">
        <v>676</v>
      </c>
      <c r="F29" s="6"/>
    </row>
    <row r="30" spans="1:18">
      <c r="A30" s="228" t="s">
        <v>49</v>
      </c>
      <c r="B30" s="33">
        <f>IF(ISERROR(TER_ander_ele_kWh/1000),0,TER_ander_ele_kWh/1000)</f>
        <v>1349.058</v>
      </c>
      <c r="C30" s="39">
        <f>IF(ISERROR(B30*3.6/1000000/'E Balans VL '!Z14*100),0,B30*3.6/1000000/'E Balans VL '!Z14*100)</f>
        <v>0.10442074855439099</v>
      </c>
      <c r="D30" s="233" t="s">
        <v>676</v>
      </c>
      <c r="F30" s="6"/>
    </row>
    <row r="31" spans="1:18">
      <c r="A31" s="228" t="s">
        <v>54</v>
      </c>
      <c r="B31" s="33">
        <f>IF(ISERROR(TER_onderwijs_ele_kWh/1000),0,TER_onderwijs_ele_kWh/1000)</f>
        <v>182.465</v>
      </c>
      <c r="C31" s="39">
        <f>IF(ISERROR(B31*3.6/1000000/'E Balans VL '!Z11*100),0,B31*3.6/1000000/'E Balans VL '!Z11*100)</f>
        <v>5.6852642542245826E-2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15617.599999999999</v>
      </c>
      <c r="C5" s="17">
        <f>IF(ISERROR('Eigen informatie GS &amp; warmtenet'!B59),0,'Eigen informatie GS &amp; warmtenet'!B59)</f>
        <v>0</v>
      </c>
      <c r="D5" s="30">
        <f>SUM(D6:D15)</f>
        <v>1050.995066</v>
      </c>
      <c r="E5" s="17">
        <f>SUM(E6:E15)</f>
        <v>195.34000927076494</v>
      </c>
      <c r="F5" s="17">
        <f>SUM(F6:F15)</f>
        <v>4590.2380140920686</v>
      </c>
      <c r="G5" s="18"/>
      <c r="H5" s="17"/>
      <c r="I5" s="17"/>
      <c r="J5" s="17">
        <f>SUM(J6:J15)</f>
        <v>53.452905201476185</v>
      </c>
      <c r="K5" s="17"/>
      <c r="L5" s="17"/>
      <c r="M5" s="17"/>
      <c r="N5" s="17">
        <f>SUM(N6:N15)</f>
        <v>410.72609846790243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42.871000000000002</v>
      </c>
      <c r="C8" s="33"/>
      <c r="D8" s="37">
        <f>IF( ISERROR(IND_metaal_Gas_kWH/1000),0,IND_metaal_Gas_kWH/1000)*0.902</f>
        <v>0</v>
      </c>
      <c r="E8" s="33">
        <f>C30*'E Balans VL '!I18/100/3.6*1000000</f>
        <v>0.30124505794291534</v>
      </c>
      <c r="F8" s="33">
        <f>C30*'E Balans VL '!L18/100/3.6*1000000+C30*'E Balans VL '!N18/100/3.6*1000000</f>
        <v>4.7069849799621508</v>
      </c>
      <c r="G8" s="34"/>
      <c r="H8" s="33"/>
      <c r="I8" s="33"/>
      <c r="J8" s="40">
        <f>C30*'E Balans VL '!D18/100/3.6*1000000+C30*'E Balans VL '!E18/100/3.6*1000000</f>
        <v>0.88452113380067499</v>
      </c>
      <c r="K8" s="33"/>
      <c r="L8" s="33"/>
      <c r="M8" s="33"/>
      <c r="N8" s="33">
        <f>C30*'E Balans VL '!Y18/100/3.6*1000000</f>
        <v>0.16068359556610826</v>
      </c>
      <c r="O8" s="33"/>
      <c r="P8" s="33"/>
      <c r="R8" s="32"/>
    </row>
    <row r="9" spans="1:18">
      <c r="A9" s="6" t="s">
        <v>32</v>
      </c>
      <c r="B9" s="37">
        <f t="shared" si="0"/>
        <v>3475.922</v>
      </c>
      <c r="C9" s="33"/>
      <c r="D9" s="37">
        <f>IF( ISERROR(IND_andere_gas_kWh/1000),0,IND_andere_gas_kWh/1000)*0.902</f>
        <v>629.81248000000005</v>
      </c>
      <c r="E9" s="33">
        <f>C31*'E Balans VL '!I19/100/3.6*1000000</f>
        <v>58.382368130404856</v>
      </c>
      <c r="F9" s="33">
        <f>C31*'E Balans VL '!L19/100/3.6*1000000+C31*'E Balans VL '!N19/100/3.6*1000000</f>
        <v>2717.2778458650987</v>
      </c>
      <c r="G9" s="34"/>
      <c r="H9" s="33"/>
      <c r="I9" s="33"/>
      <c r="J9" s="40">
        <f>C31*'E Balans VL '!D19/100/3.6*1000000+C31*'E Balans VL '!E19/100/3.6*1000000</f>
        <v>0.31349748109857589</v>
      </c>
      <c r="K9" s="33"/>
      <c r="L9" s="33"/>
      <c r="M9" s="33"/>
      <c r="N9" s="33">
        <f>C31*'E Balans VL '!Y19/100/3.6*1000000</f>
        <v>257.62158645898091</v>
      </c>
      <c r="O9" s="33"/>
      <c r="P9" s="33"/>
      <c r="R9" s="32"/>
    </row>
    <row r="10" spans="1:18">
      <c r="A10" s="6" t="s">
        <v>40</v>
      </c>
      <c r="B10" s="37">
        <f t="shared" si="0"/>
        <v>10391.339</v>
      </c>
      <c r="C10" s="33"/>
      <c r="D10" s="37">
        <f>IF( ISERROR(IND_voed_gas_kWh/1000),0,IND_voed_gas_kWh/1000)*0.902</f>
        <v>0</v>
      </c>
      <c r="E10" s="33">
        <f>C32*'E Balans VL '!I20/100/3.6*1000000</f>
        <v>94.806258915286151</v>
      </c>
      <c r="F10" s="33">
        <f>C32*'E Balans VL '!L20/100/3.6*1000000+C32*'E Balans VL '!N20/100/3.6*1000000</f>
        <v>1676.448002762967</v>
      </c>
      <c r="G10" s="34"/>
      <c r="H10" s="33"/>
      <c r="I10" s="33"/>
      <c r="J10" s="40">
        <f>C32*'E Balans VL '!D20/100/3.6*1000000+C32*'E Balans VL '!E20/100/3.6*1000000</f>
        <v>42.79834689362697</v>
      </c>
      <c r="K10" s="33"/>
      <c r="L10" s="33"/>
      <c r="M10" s="33"/>
      <c r="N10" s="33">
        <f>C32*'E Balans VL '!Y20/100/3.6*1000000</f>
        <v>152.01709576923074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1603.671</v>
      </c>
      <c r="C12" s="33"/>
      <c r="D12" s="37">
        <f>IF( ISERROR(IND_min_gas_kWh/1000),0,IND_min_gas_kWh/1000)*0.902</f>
        <v>21.552388000000001</v>
      </c>
      <c r="E12" s="33">
        <f>C34*'E Balans VL '!I22/100/3.6*1000000</f>
        <v>39.776254411903928</v>
      </c>
      <c r="F12" s="33">
        <f>C34*'E Balans VL '!L22/100/3.6*1000000+C34*'E Balans VL '!N22/100/3.6*1000000</f>
        <v>170.40539889382779</v>
      </c>
      <c r="G12" s="34"/>
      <c r="H12" s="33"/>
      <c r="I12" s="33"/>
      <c r="J12" s="40">
        <f>C34*'E Balans VL '!D22/100/3.6*1000000+C34*'E Balans VL '!E22/100/3.6*1000000</f>
        <v>9.1097922535274769</v>
      </c>
      <c r="K12" s="33"/>
      <c r="L12" s="33"/>
      <c r="M12" s="33"/>
      <c r="N12" s="33">
        <f>C34*'E Balans VL '!Y22/100/3.6*1000000</f>
        <v>0</v>
      </c>
      <c r="O12" s="33"/>
      <c r="P12" s="33"/>
      <c r="R12" s="32"/>
    </row>
    <row r="13" spans="1:18">
      <c r="A13" s="6" t="s">
        <v>38</v>
      </c>
      <c r="B13" s="37">
        <f t="shared" si="0"/>
        <v>52.3</v>
      </c>
      <c r="C13" s="33"/>
      <c r="D13" s="37">
        <f>IF( ISERROR(IND_papier_gas_kWh/1000),0,IND_papier_gas_kWh/1000)*0.902</f>
        <v>114.516116</v>
      </c>
      <c r="E13" s="33">
        <f>C35*'E Balans VL '!I23/100/3.6*1000000</f>
        <v>1.6091345091562164</v>
      </c>
      <c r="F13" s="33">
        <f>C35*'E Balans VL '!L23/100/3.6*1000000+C35*'E Balans VL '!N23/100/3.6*1000000</f>
        <v>11.105117777010568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51.497</v>
      </c>
      <c r="C15" s="33"/>
      <c r="D15" s="37">
        <f>IF( ISERROR(IND_rest_gas_kWh/1000),0,IND_rest_gas_kWh/1000)*0.902</f>
        <v>285.114082</v>
      </c>
      <c r="E15" s="33">
        <f>C37*'E Balans VL '!I15/100/3.6*1000000</f>
        <v>0.4647482460708966</v>
      </c>
      <c r="F15" s="33">
        <f>C37*'E Balans VL '!L15/100/3.6*1000000+C37*'E Balans VL '!N15/100/3.6*1000000</f>
        <v>10.294663813202559</v>
      </c>
      <c r="G15" s="34"/>
      <c r="H15" s="33"/>
      <c r="I15" s="33"/>
      <c r="J15" s="40">
        <f>C37*'E Balans VL '!D15/100/3.6*1000000+C37*'E Balans VL '!E15/100/3.6*1000000</f>
        <v>0.34674743942248643</v>
      </c>
      <c r="K15" s="33"/>
      <c r="L15" s="33"/>
      <c r="M15" s="33"/>
      <c r="N15" s="33">
        <f>C37*'E Balans VL '!Y15/100/3.6*1000000</f>
        <v>0.92673264412468337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15617.599999999999</v>
      </c>
      <c r="C18" s="21">
        <f>C5+C16</f>
        <v>0</v>
      </c>
      <c r="D18" s="21">
        <f>MAX((D5+D16),0)</f>
        <v>1050.995066</v>
      </c>
      <c r="E18" s="21">
        <f>MAX((E5+E16),0)</f>
        <v>195.34000927076494</v>
      </c>
      <c r="F18" s="21">
        <f>MAX((F5+F16),0)</f>
        <v>4590.2380140920686</v>
      </c>
      <c r="G18" s="21"/>
      <c r="H18" s="21"/>
      <c r="I18" s="21"/>
      <c r="J18" s="21">
        <f>MAX((J5+J16),0)</f>
        <v>53.452905201476185</v>
      </c>
      <c r="K18" s="21"/>
      <c r="L18" s="21">
        <f>MAX((L5+L16),0)</f>
        <v>0</v>
      </c>
      <c r="M18" s="21"/>
      <c r="N18" s="21">
        <f>MAX((N5+N16),0)</f>
        <v>410.72609846790243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0.20829533500682043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3253.0732240025186</v>
      </c>
      <c r="C22" s="23">
        <f ca="1">C18*C20</f>
        <v>0</v>
      </c>
      <c r="D22" s="23">
        <f>D18*D20</f>
        <v>212.30100333199999</v>
      </c>
      <c r="E22" s="23">
        <f>E18*E20</f>
        <v>44.342182104463639</v>
      </c>
      <c r="F22" s="23">
        <f>F18*F20</f>
        <v>1225.5935497625824</v>
      </c>
      <c r="G22" s="23"/>
      <c r="H22" s="23"/>
      <c r="I22" s="23"/>
      <c r="J22" s="23">
        <f>J18*J20</f>
        <v>18.92232844132257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42.871000000000002</v>
      </c>
      <c r="C30" s="39">
        <f>IF(ISERROR(B30*3.6/1000000/'E Balans VL '!Z18*100),0,B30*3.6/1000000/'E Balans VL '!Z18*100)</f>
        <v>2.853948649226373E-3</v>
      </c>
      <c r="D30" s="233" t="s">
        <v>676</v>
      </c>
    </row>
    <row r="31" spans="1:18">
      <c r="A31" s="6" t="s">
        <v>32</v>
      </c>
      <c r="B31" s="37">
        <f>IF( ISERROR(IND_ander_ele_kWh/1000),0,IND_ander_ele_kWh/1000)</f>
        <v>3475.922</v>
      </c>
      <c r="C31" s="39">
        <f>IF(ISERROR(B31*3.6/1000000/'E Balans VL '!Z19*100),0,B31*3.6/1000000/'E Balans VL '!Z19*100)</f>
        <v>0.15407384736585303</v>
      </c>
      <c r="D31" s="233" t="s">
        <v>676</v>
      </c>
    </row>
    <row r="32" spans="1:18">
      <c r="A32" s="168" t="s">
        <v>40</v>
      </c>
      <c r="B32" s="37">
        <f>IF( ISERROR(IND_voed_ele_kWh/1000),0,IND_voed_ele_kWh/1000)</f>
        <v>10391.339</v>
      </c>
      <c r="C32" s="39">
        <f>IF(ISERROR(B32*3.6/1000000/'E Balans VL '!Z20*100),0,B32*3.6/1000000/'E Balans VL '!Z20*100)</f>
        <v>0.34710053149356623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1603.671</v>
      </c>
      <c r="C34" s="39">
        <f>IF(ISERROR(B34*3.6/1000000/'E Balans VL '!Z22*100),0,B34*3.6/1000000/'E Balans VL '!Z22*100)</f>
        <v>0.31189639417538062</v>
      </c>
      <c r="D34" s="233" t="s">
        <v>676</v>
      </c>
    </row>
    <row r="35" spans="1:5">
      <c r="A35" s="168" t="s">
        <v>38</v>
      </c>
      <c r="B35" s="37">
        <f>IF( ISERROR(IND_papier_ele_kWh/1000),0,IND_papier_ele_kWh/1000)</f>
        <v>52.3</v>
      </c>
      <c r="C35" s="39">
        <f>IF(ISERROR(B35*3.6/1000000/'E Balans VL '!Z22*100),0,B35*3.6/1000000/'E Balans VL '!Z22*100)</f>
        <v>1.017177551715558E-2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51.497</v>
      </c>
      <c r="C37" s="39">
        <f>IF(ISERROR(B37*3.6/1000000/'E Balans VL '!Z15*100),0,B37*3.6/1000000/'E Balans VL '!Z15*100)</f>
        <v>3.8305378421061762E-4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3270.36</v>
      </c>
      <c r="C5" s="17">
        <f>'Eigen informatie GS &amp; warmtenet'!B60</f>
        <v>0</v>
      </c>
      <c r="D5" s="30">
        <f>IF(ISERROR(SUM(LB_lb_gas_kWh,LB_rest_gas_kWh)/1000),0,SUM(LB_lb_gas_kWh,LB_rest_gas_kWh)/1000)*0.902</f>
        <v>115.494786</v>
      </c>
      <c r="E5" s="17">
        <f>B17*'E Balans VL '!I25/3.6*1000000/100</f>
        <v>29.470093321091955</v>
      </c>
      <c r="F5" s="17">
        <f>B17*('E Balans VL '!L25/3.6*1000000+'E Balans VL '!N25/3.6*1000000)/100</f>
        <v>12254.138662677147</v>
      </c>
      <c r="G5" s="18"/>
      <c r="H5" s="17"/>
      <c r="I5" s="17"/>
      <c r="J5" s="17">
        <f>('E Balans VL '!D25+'E Balans VL '!E25)/3.6*1000000*landbouw!B17/100</f>
        <v>330.94690616872549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3270.36</v>
      </c>
      <c r="C8" s="21">
        <f>C5+C6</f>
        <v>0</v>
      </c>
      <c r="D8" s="21">
        <f>MAX((D5+D6),0)</f>
        <v>115.494786</v>
      </c>
      <c r="E8" s="21">
        <f>MAX((E5+E6),0)</f>
        <v>29.470093321091955</v>
      </c>
      <c r="F8" s="21">
        <f>MAX((F5+F6),0)</f>
        <v>12254.138662677147</v>
      </c>
      <c r="G8" s="21"/>
      <c r="H8" s="21"/>
      <c r="I8" s="21"/>
      <c r="J8" s="21">
        <f>MAX((J5+J6),0)</f>
        <v>330.94690616872549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0.20829533500682043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681.20073179290534</v>
      </c>
      <c r="C12" s="23">
        <f ca="1">C8*C10</f>
        <v>0</v>
      </c>
      <c r="D12" s="23">
        <f>D8*D10</f>
        <v>23.329946772000003</v>
      </c>
      <c r="E12" s="23">
        <f>E8*E10</f>
        <v>6.6897111838878738</v>
      </c>
      <c r="F12" s="23">
        <f>F8*F10</f>
        <v>3271.8550229347984</v>
      </c>
      <c r="G12" s="23"/>
      <c r="H12" s="23"/>
      <c r="I12" s="23"/>
      <c r="J12" s="23">
        <f>J8*J10</f>
        <v>117.15520478372882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0.50337153361425413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184.56618294930206</v>
      </c>
      <c r="C26" s="243">
        <f>B26*'GWP N2O_CH4'!B5</f>
        <v>3875.8898419353432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74.587721018950361</v>
      </c>
      <c r="C27" s="243">
        <f>B27*'GWP N2O_CH4'!B5</f>
        <v>1566.3421413979577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3.1999835711436031</v>
      </c>
      <c r="C28" s="243">
        <f>B28*'GWP N2O_CH4'!B4</f>
        <v>991.99490705451694</v>
      </c>
      <c r="D28" s="50"/>
    </row>
    <row r="29" spans="1:4">
      <c r="A29" s="41" t="s">
        <v>266</v>
      </c>
      <c r="B29" s="243">
        <f>B34*'ha_N2O bodem landbouw'!B4</f>
        <v>19.225227437727867</v>
      </c>
      <c r="C29" s="243">
        <f>B29*'GWP N2O_CH4'!B4</f>
        <v>5959.8205056956385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4.9914652931835352E-3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3.4623132627414815E-6</v>
      </c>
      <c r="C5" s="431" t="s">
        <v>204</v>
      </c>
      <c r="D5" s="416">
        <f>SUM(D6:D11)</f>
        <v>1.1599800408500874E-5</v>
      </c>
      <c r="E5" s="416">
        <f>SUM(E6:E11)</f>
        <v>1.1859718360380568E-3</v>
      </c>
      <c r="F5" s="429" t="s">
        <v>204</v>
      </c>
      <c r="G5" s="416">
        <f>SUM(G6:G11)</f>
        <v>0.24258376087403416</v>
      </c>
      <c r="H5" s="416">
        <f>SUM(H6:H11)</f>
        <v>3.9797280239556511E-2</v>
      </c>
      <c r="I5" s="431" t="s">
        <v>204</v>
      </c>
      <c r="J5" s="431" t="s">
        <v>204</v>
      </c>
      <c r="K5" s="431" t="s">
        <v>204</v>
      </c>
      <c r="L5" s="431" t="s">
        <v>204</v>
      </c>
      <c r="M5" s="416">
        <f>SUM(M6:M11)</f>
        <v>1.2281980989256374E-2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2.7016397204443638E-6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8.5276632752977952E-6</v>
      </c>
      <c r="E6" s="419">
        <f>vkm_GW_PW*SUMIFS(TableVerdeelsleutelVkm[LPG],TableVerdeelsleutelVkm[Voertuigtype],"Lichte voertuigen")*SUMIFS(TableECFTransport[EnergieConsumptieFactor (PJ per km)],TableECFTransport[Index],CONCATENATE($A6,"_LPG_LPG"))</f>
        <v>8.8566999628401184E-4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0.11822143875820051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2.9692130849769301E-2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6.4594648517364746E-3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1.7525550544290659E-7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7.9000893007592346E-2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2.3245502019942005E-6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3.403399864701315E-3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5.7384019713031214E-7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3.0721371332030792E-6</v>
      </c>
      <c r="E8" s="419">
        <f>vkm_NGW_PW*SUMIFS(TableVerdeelsleutelVkm[LPG],TableVerdeelsleutelVkm[Voertuigtype],"Lichte voertuigen")*SUMIFS(TableECFTransport[EnergieConsumptieFactor (PJ per km)],TableECFTransport[Index],CONCATENATE($A8,"_LPG_LPG"))</f>
        <v>3.0030183975404489E-4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3.813228503279055E-2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1.0102639481625871E-2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2.1076822172220997E-3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1.157783972389923E-8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7.2291440754507731E-3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1.8535795934818416E-7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3.1143405559648572E-4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0.96175368409485595</v>
      </c>
      <c r="C14" s="21"/>
      <c r="D14" s="21">
        <f t="shared" ref="D14:M14" si="0">((D5)*10^9/3600)+D12</f>
        <v>3.2221667801391316</v>
      </c>
      <c r="E14" s="21">
        <f t="shared" si="0"/>
        <v>329.43662112168244</v>
      </c>
      <c r="F14" s="21"/>
      <c r="G14" s="21">
        <f t="shared" si="0"/>
        <v>67384.37802056504</v>
      </c>
      <c r="H14" s="21">
        <f t="shared" si="0"/>
        <v>11054.800066543476</v>
      </c>
      <c r="I14" s="21"/>
      <c r="J14" s="21"/>
      <c r="K14" s="21"/>
      <c r="L14" s="21"/>
      <c r="M14" s="21">
        <f t="shared" si="0"/>
        <v>3411.6613859045483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0.20829533500682043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0.20032880582258178</v>
      </c>
      <c r="C18" s="23"/>
      <c r="D18" s="23">
        <f t="shared" ref="D18:M18" si="1">D14*D16</f>
        <v>0.65087768958810466</v>
      </c>
      <c r="E18" s="23">
        <f t="shared" si="1"/>
        <v>74.782112994621912</v>
      </c>
      <c r="F18" s="23"/>
      <c r="G18" s="23">
        <f t="shared" si="1"/>
        <v>17991.628931490868</v>
      </c>
      <c r="H18" s="23">
        <f t="shared" si="1"/>
        <v>2752.6452165693254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2.2653121999121696E-5</v>
      </c>
      <c r="C50" s="313">
        <f t="shared" ref="C50:P50" si="2">SUM(C51:C52)</f>
        <v>0</v>
      </c>
      <c r="D50" s="313">
        <f t="shared" si="2"/>
        <v>0</v>
      </c>
      <c r="E50" s="313">
        <f t="shared" si="2"/>
        <v>0</v>
      </c>
      <c r="F50" s="313">
        <f t="shared" si="2"/>
        <v>0</v>
      </c>
      <c r="G50" s="313">
        <f t="shared" si="2"/>
        <v>4.9143673835732983E-3</v>
      </c>
      <c r="H50" s="313">
        <f t="shared" si="2"/>
        <v>0</v>
      </c>
      <c r="I50" s="313">
        <f t="shared" si="2"/>
        <v>0</v>
      </c>
      <c r="J50" s="313">
        <f t="shared" si="2"/>
        <v>0</v>
      </c>
      <c r="K50" s="313">
        <f t="shared" si="2"/>
        <v>0</v>
      </c>
      <c r="L50" s="313">
        <f t="shared" si="2"/>
        <v>0</v>
      </c>
      <c r="M50" s="313">
        <f t="shared" si="2"/>
        <v>2.1041433405567458E-4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2.2653121999121696E-5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4.9143673835732983E-3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2.1041433405567458E-4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6.2925338886449156</v>
      </c>
      <c r="C54" s="21">
        <f t="shared" ref="C54:P54" si="3">(C50)*10^9/3600</f>
        <v>0</v>
      </c>
      <c r="D54" s="21">
        <f t="shared" si="3"/>
        <v>0</v>
      </c>
      <c r="E54" s="21">
        <f t="shared" si="3"/>
        <v>0</v>
      </c>
      <c r="F54" s="21">
        <f t="shared" si="3"/>
        <v>0</v>
      </c>
      <c r="G54" s="21">
        <f t="shared" si="3"/>
        <v>1365.1020509925829</v>
      </c>
      <c r="H54" s="21">
        <f t="shared" si="3"/>
        <v>0</v>
      </c>
      <c r="I54" s="21">
        <f t="shared" si="3"/>
        <v>0</v>
      </c>
      <c r="J54" s="21">
        <f t="shared" si="3"/>
        <v>0</v>
      </c>
      <c r="K54" s="21">
        <f t="shared" si="3"/>
        <v>0</v>
      </c>
      <c r="L54" s="21">
        <f t="shared" si="3"/>
        <v>0</v>
      </c>
      <c r="M54" s="21">
        <f t="shared" si="3"/>
        <v>58.448426126576273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0.20829533500682043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1.3107054543770631</v>
      </c>
      <c r="C58" s="23">
        <f t="shared" ref="C58:P58" ca="1" si="4">C54*C56</f>
        <v>0</v>
      </c>
      <c r="D58" s="23">
        <f t="shared" si="4"/>
        <v>0</v>
      </c>
      <c r="E58" s="23">
        <f t="shared" si="4"/>
        <v>0</v>
      </c>
      <c r="F58" s="23">
        <f t="shared" si="4"/>
        <v>0</v>
      </c>
      <c r="G58" s="23">
        <f t="shared" si="4"/>
        <v>364.48224761501967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2964.0110907433741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2964.0110907433741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12197.602000000003</v>
      </c>
      <c r="D10" s="635">
        <f ca="1">tertiair!C16</f>
        <v>0</v>
      </c>
      <c r="E10" s="635">
        <f ca="1">tertiair!D16</f>
        <v>8436.8461759999991</v>
      </c>
      <c r="F10" s="635">
        <f>tertiair!E16</f>
        <v>283.26882750788269</v>
      </c>
      <c r="G10" s="635">
        <f ca="1">tertiair!F16</f>
        <v>2130.5616393793689</v>
      </c>
      <c r="H10" s="635">
        <f>tertiair!G16</f>
        <v>0</v>
      </c>
      <c r="I10" s="635">
        <f>tertiair!H16</f>
        <v>0</v>
      </c>
      <c r="J10" s="635">
        <f>tertiair!I16</f>
        <v>0</v>
      </c>
      <c r="K10" s="635">
        <f>tertiair!J16</f>
        <v>0</v>
      </c>
      <c r="L10" s="635">
        <f>tertiair!K16</f>
        <v>0</v>
      </c>
      <c r="M10" s="635">
        <f ca="1">tertiair!L16</f>
        <v>0</v>
      </c>
      <c r="N10" s="635">
        <f>tertiair!M16</f>
        <v>0</v>
      </c>
      <c r="O10" s="635">
        <f ca="1">tertiair!N16</f>
        <v>369.7719169608207</v>
      </c>
      <c r="P10" s="635">
        <f>tertiair!O16</f>
        <v>0</v>
      </c>
      <c r="Q10" s="636">
        <f>tertiair!P16</f>
        <v>0</v>
      </c>
      <c r="R10" s="638">
        <f ca="1">SUM(C10:Q10)</f>
        <v>23418.050559848074</v>
      </c>
      <c r="S10" s="67"/>
    </row>
    <row r="11" spans="1:19" s="441" customFormat="1">
      <c r="A11" s="749" t="s">
        <v>214</v>
      </c>
      <c r="B11" s="754"/>
      <c r="C11" s="635">
        <f>huishoudens!B8</f>
        <v>19134.657463370291</v>
      </c>
      <c r="D11" s="635">
        <f>huishoudens!C8</f>
        <v>0</v>
      </c>
      <c r="E11" s="635">
        <f>huishoudens!D8</f>
        <v>24734.679178000002</v>
      </c>
      <c r="F11" s="635">
        <f>huishoudens!E8</f>
        <v>1346.0345453690481</v>
      </c>
      <c r="G11" s="635">
        <f>huishoudens!F8</f>
        <v>45946.075718730979</v>
      </c>
      <c r="H11" s="635">
        <f>huishoudens!G8</f>
        <v>0</v>
      </c>
      <c r="I11" s="635">
        <f>huishoudens!H8</f>
        <v>0</v>
      </c>
      <c r="J11" s="635">
        <f>huishoudens!I8</f>
        <v>0</v>
      </c>
      <c r="K11" s="635">
        <f>huishoudens!J8</f>
        <v>1034.5891386889434</v>
      </c>
      <c r="L11" s="635">
        <f>huishoudens!K8</f>
        <v>0</v>
      </c>
      <c r="M11" s="635">
        <f>huishoudens!L8</f>
        <v>0</v>
      </c>
      <c r="N11" s="635">
        <f>huishoudens!M8</f>
        <v>0</v>
      </c>
      <c r="O11" s="635">
        <f>huishoudens!N8</f>
        <v>5511.0468730830044</v>
      </c>
      <c r="P11" s="635">
        <f>huishoudens!O8</f>
        <v>21.88666666666667</v>
      </c>
      <c r="Q11" s="636">
        <f>huishoudens!P8</f>
        <v>152.53333333333333</v>
      </c>
      <c r="R11" s="638">
        <f>SUM(C11:Q11)</f>
        <v>97881.502917242266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15617.599999999999</v>
      </c>
      <c r="D13" s="635">
        <f>industrie!C18</f>
        <v>0</v>
      </c>
      <c r="E13" s="635">
        <f>industrie!D18</f>
        <v>1050.995066</v>
      </c>
      <c r="F13" s="635">
        <f>industrie!E18</f>
        <v>195.34000927076494</v>
      </c>
      <c r="G13" s="635">
        <f>industrie!F18</f>
        <v>4590.2380140920686</v>
      </c>
      <c r="H13" s="635">
        <f>industrie!G18</f>
        <v>0</v>
      </c>
      <c r="I13" s="635">
        <f>industrie!H18</f>
        <v>0</v>
      </c>
      <c r="J13" s="635">
        <f>industrie!I18</f>
        <v>0</v>
      </c>
      <c r="K13" s="635">
        <f>industrie!J18</f>
        <v>53.452905201476185</v>
      </c>
      <c r="L13" s="635">
        <f>industrie!K18</f>
        <v>0</v>
      </c>
      <c r="M13" s="635">
        <f>industrie!L18</f>
        <v>0</v>
      </c>
      <c r="N13" s="635">
        <f>industrie!M18</f>
        <v>0</v>
      </c>
      <c r="O13" s="635">
        <f>industrie!N18</f>
        <v>410.72609846790243</v>
      </c>
      <c r="P13" s="635">
        <f>industrie!O18</f>
        <v>0</v>
      </c>
      <c r="Q13" s="636">
        <f>industrie!P18</f>
        <v>0</v>
      </c>
      <c r="R13" s="638">
        <f>SUM(C13:Q13)</f>
        <v>21918.352093032208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46949.859463370289</v>
      </c>
      <c r="D16" s="668">
        <f t="shared" ref="D16:R16" ca="1" si="0">SUM(D9:D15)</f>
        <v>0</v>
      </c>
      <c r="E16" s="668">
        <f t="shared" ca="1" si="0"/>
        <v>34222.520420000001</v>
      </c>
      <c r="F16" s="668">
        <f t="shared" si="0"/>
        <v>1824.6433821476958</v>
      </c>
      <c r="G16" s="668">
        <f t="shared" ca="1" si="0"/>
        <v>52666.875372202412</v>
      </c>
      <c r="H16" s="668">
        <f t="shared" si="0"/>
        <v>0</v>
      </c>
      <c r="I16" s="668">
        <f t="shared" si="0"/>
        <v>0</v>
      </c>
      <c r="J16" s="668">
        <f t="shared" si="0"/>
        <v>0</v>
      </c>
      <c r="K16" s="668">
        <f t="shared" si="0"/>
        <v>1088.0420438904196</v>
      </c>
      <c r="L16" s="668">
        <f t="shared" si="0"/>
        <v>0</v>
      </c>
      <c r="M16" s="668">
        <f t="shared" ca="1" si="0"/>
        <v>0</v>
      </c>
      <c r="N16" s="668">
        <f t="shared" si="0"/>
        <v>0</v>
      </c>
      <c r="O16" s="668">
        <f t="shared" ca="1" si="0"/>
        <v>6291.5448885117275</v>
      </c>
      <c r="P16" s="668">
        <f t="shared" si="0"/>
        <v>21.88666666666667</v>
      </c>
      <c r="Q16" s="668">
        <f t="shared" si="0"/>
        <v>152.53333333333333</v>
      </c>
      <c r="R16" s="668">
        <f t="shared" ca="1" si="0"/>
        <v>143217.90557012256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6.2925338886449156</v>
      </c>
      <c r="D19" s="635">
        <f>transport!C54</f>
        <v>0</v>
      </c>
      <c r="E19" s="635">
        <f>transport!D54</f>
        <v>0</v>
      </c>
      <c r="F19" s="635">
        <f>transport!E54</f>
        <v>0</v>
      </c>
      <c r="G19" s="635">
        <f>transport!F54</f>
        <v>0</v>
      </c>
      <c r="H19" s="635">
        <f>transport!G54</f>
        <v>1365.1020509925829</v>
      </c>
      <c r="I19" s="635">
        <f>transport!H54</f>
        <v>0</v>
      </c>
      <c r="J19" s="635">
        <f>transport!I54</f>
        <v>0</v>
      </c>
      <c r="K19" s="635">
        <f>transport!J54</f>
        <v>0</v>
      </c>
      <c r="L19" s="635">
        <f>transport!K54</f>
        <v>0</v>
      </c>
      <c r="M19" s="635">
        <f>transport!L54</f>
        <v>0</v>
      </c>
      <c r="N19" s="635">
        <f>transport!M54</f>
        <v>58.448426126576273</v>
      </c>
      <c r="O19" s="635">
        <f>transport!N54</f>
        <v>0</v>
      </c>
      <c r="P19" s="635">
        <f>transport!O54</f>
        <v>0</v>
      </c>
      <c r="Q19" s="636">
        <f>transport!P54</f>
        <v>0</v>
      </c>
      <c r="R19" s="638">
        <f>SUM(C19:Q19)</f>
        <v>1429.8430110078041</v>
      </c>
      <c r="S19" s="67"/>
    </row>
    <row r="20" spans="1:19" s="441" customFormat="1">
      <c r="A20" s="749" t="s">
        <v>296</v>
      </c>
      <c r="B20" s="754"/>
      <c r="C20" s="635">
        <f>transport!B14</f>
        <v>0.96175368409485595</v>
      </c>
      <c r="D20" s="635">
        <f>transport!C14</f>
        <v>0</v>
      </c>
      <c r="E20" s="635">
        <f>transport!D14</f>
        <v>3.2221667801391316</v>
      </c>
      <c r="F20" s="635">
        <f>transport!E14</f>
        <v>329.43662112168244</v>
      </c>
      <c r="G20" s="635">
        <f>transport!F14</f>
        <v>0</v>
      </c>
      <c r="H20" s="635">
        <f>transport!G14</f>
        <v>67384.37802056504</v>
      </c>
      <c r="I20" s="635">
        <f>transport!H14</f>
        <v>11054.800066543476</v>
      </c>
      <c r="J20" s="635">
        <f>transport!I14</f>
        <v>0</v>
      </c>
      <c r="K20" s="635">
        <f>transport!J14</f>
        <v>0</v>
      </c>
      <c r="L20" s="635">
        <f>transport!K14</f>
        <v>0</v>
      </c>
      <c r="M20" s="635">
        <f>transport!L14</f>
        <v>0</v>
      </c>
      <c r="N20" s="635">
        <f>transport!M14</f>
        <v>3411.6613859045483</v>
      </c>
      <c r="O20" s="635">
        <f>transport!N14</f>
        <v>0</v>
      </c>
      <c r="P20" s="635">
        <f>transport!O14</f>
        <v>0</v>
      </c>
      <c r="Q20" s="636">
        <f>transport!P14</f>
        <v>0</v>
      </c>
      <c r="R20" s="638">
        <f>SUM(C20:Q20)</f>
        <v>82184.460014598983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7.2542875727397718</v>
      </c>
      <c r="D22" s="752">
        <f t="shared" ref="D22:R22" si="1">SUM(D18:D21)</f>
        <v>0</v>
      </c>
      <c r="E22" s="752">
        <f t="shared" si="1"/>
        <v>3.2221667801391316</v>
      </c>
      <c r="F22" s="752">
        <f t="shared" si="1"/>
        <v>329.43662112168244</v>
      </c>
      <c r="G22" s="752">
        <f t="shared" si="1"/>
        <v>0</v>
      </c>
      <c r="H22" s="752">
        <f t="shared" si="1"/>
        <v>68749.480071557628</v>
      </c>
      <c r="I22" s="752">
        <f t="shared" si="1"/>
        <v>11054.800066543476</v>
      </c>
      <c r="J22" s="752">
        <f t="shared" si="1"/>
        <v>0</v>
      </c>
      <c r="K22" s="752">
        <f t="shared" si="1"/>
        <v>0</v>
      </c>
      <c r="L22" s="752">
        <f t="shared" si="1"/>
        <v>0</v>
      </c>
      <c r="M22" s="752">
        <f t="shared" si="1"/>
        <v>0</v>
      </c>
      <c r="N22" s="752">
        <f t="shared" si="1"/>
        <v>3470.1098120311244</v>
      </c>
      <c r="O22" s="752">
        <f t="shared" si="1"/>
        <v>0</v>
      </c>
      <c r="P22" s="752">
        <f t="shared" si="1"/>
        <v>0</v>
      </c>
      <c r="Q22" s="752">
        <f t="shared" si="1"/>
        <v>0</v>
      </c>
      <c r="R22" s="752">
        <f t="shared" si="1"/>
        <v>83614.303025606787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3270.36</v>
      </c>
      <c r="D24" s="635">
        <f>+landbouw!C8</f>
        <v>0</v>
      </c>
      <c r="E24" s="635">
        <f>+landbouw!D8</f>
        <v>115.494786</v>
      </c>
      <c r="F24" s="635">
        <f>+landbouw!E8</f>
        <v>29.470093321091955</v>
      </c>
      <c r="G24" s="635">
        <f>+landbouw!F8</f>
        <v>12254.138662677147</v>
      </c>
      <c r="H24" s="635">
        <f>+landbouw!G8</f>
        <v>0</v>
      </c>
      <c r="I24" s="635">
        <f>+landbouw!H8</f>
        <v>0</v>
      </c>
      <c r="J24" s="635">
        <f>+landbouw!I8</f>
        <v>0</v>
      </c>
      <c r="K24" s="635">
        <f>+landbouw!J8</f>
        <v>330.94690616872549</v>
      </c>
      <c r="L24" s="635">
        <f>+landbouw!K8</f>
        <v>0</v>
      </c>
      <c r="M24" s="635">
        <f>+landbouw!L8</f>
        <v>0</v>
      </c>
      <c r="N24" s="635">
        <f>+landbouw!M8</f>
        <v>0</v>
      </c>
      <c r="O24" s="635">
        <f>+landbouw!N8</f>
        <v>0</v>
      </c>
      <c r="P24" s="635">
        <f>+landbouw!O8</f>
        <v>0</v>
      </c>
      <c r="Q24" s="636">
        <f>+landbouw!P8</f>
        <v>0</v>
      </c>
      <c r="R24" s="638">
        <f>SUM(C24:Q24)</f>
        <v>16000.410448166966</v>
      </c>
      <c r="S24" s="67"/>
    </row>
    <row r="25" spans="1:19" s="441" customFormat="1" ht="15" thickBot="1">
      <c r="A25" s="771" t="s">
        <v>864</v>
      </c>
      <c r="B25" s="923"/>
      <c r="C25" s="924">
        <f>IF(Onbekend_ele_kWh="---",0,Onbekend_ele_kWh)/1000+IF(REST_rest_ele_kWh="---",0,REST_rest_ele_kWh)/1000</f>
        <v>1332.048</v>
      </c>
      <c r="D25" s="924"/>
      <c r="E25" s="924">
        <f>IF(onbekend_gas_kWh="---",0,onbekend_gas_kWh)/1000+IF(REST_rest_gas_kWh="---",0,REST_rest_gas_kWh)/1000</f>
        <v>1454.4190000000001</v>
      </c>
      <c r="F25" s="924"/>
      <c r="G25" s="924"/>
      <c r="H25" s="924"/>
      <c r="I25" s="924"/>
      <c r="J25" s="924"/>
      <c r="K25" s="924"/>
      <c r="L25" s="924"/>
      <c r="M25" s="924"/>
      <c r="N25" s="924"/>
      <c r="O25" s="924"/>
      <c r="P25" s="924"/>
      <c r="Q25" s="925"/>
      <c r="R25" s="638">
        <f>SUM(C25:Q25)</f>
        <v>2786.4670000000001</v>
      </c>
      <c r="S25" s="67"/>
    </row>
    <row r="26" spans="1:19" s="441" customFormat="1" ht="15.75" thickBot="1">
      <c r="A26" s="641" t="s">
        <v>865</v>
      </c>
      <c r="B26" s="757"/>
      <c r="C26" s="752">
        <f>SUM(C24:C25)</f>
        <v>4602.4080000000004</v>
      </c>
      <c r="D26" s="752">
        <f t="shared" ref="D26:R26" si="2">SUM(D24:D25)</f>
        <v>0</v>
      </c>
      <c r="E26" s="752">
        <f t="shared" si="2"/>
        <v>1569.9137860000001</v>
      </c>
      <c r="F26" s="752">
        <f t="shared" si="2"/>
        <v>29.470093321091955</v>
      </c>
      <c r="G26" s="752">
        <f t="shared" si="2"/>
        <v>12254.138662677147</v>
      </c>
      <c r="H26" s="752">
        <f t="shared" si="2"/>
        <v>0</v>
      </c>
      <c r="I26" s="752">
        <f t="shared" si="2"/>
        <v>0</v>
      </c>
      <c r="J26" s="752">
        <f t="shared" si="2"/>
        <v>0</v>
      </c>
      <c r="K26" s="752">
        <f t="shared" si="2"/>
        <v>330.94690616872549</v>
      </c>
      <c r="L26" s="752">
        <f t="shared" si="2"/>
        <v>0</v>
      </c>
      <c r="M26" s="752">
        <f t="shared" si="2"/>
        <v>0</v>
      </c>
      <c r="N26" s="752">
        <f t="shared" si="2"/>
        <v>0</v>
      </c>
      <c r="O26" s="752">
        <f t="shared" si="2"/>
        <v>0</v>
      </c>
      <c r="P26" s="752">
        <f t="shared" si="2"/>
        <v>0</v>
      </c>
      <c r="Q26" s="752">
        <f t="shared" si="2"/>
        <v>0</v>
      </c>
      <c r="R26" s="752">
        <f t="shared" si="2"/>
        <v>18786.877448166964</v>
      </c>
      <c r="S26" s="67"/>
    </row>
    <row r="27" spans="1:19" s="441" customFormat="1" ht="17.25" thickTop="1" thickBot="1">
      <c r="A27" s="642" t="s">
        <v>109</v>
      </c>
      <c r="B27" s="744"/>
      <c r="C27" s="643">
        <f ca="1">C22+C16+C26</f>
        <v>51559.521750943029</v>
      </c>
      <c r="D27" s="643">
        <f t="shared" ref="D27:R27" ca="1" si="3">D22+D16+D26</f>
        <v>0</v>
      </c>
      <c r="E27" s="643">
        <f t="shared" ca="1" si="3"/>
        <v>35795.65637278014</v>
      </c>
      <c r="F27" s="643">
        <f t="shared" si="3"/>
        <v>2183.5500965904703</v>
      </c>
      <c r="G27" s="643">
        <f t="shared" ca="1" si="3"/>
        <v>64921.014034879561</v>
      </c>
      <c r="H27" s="643">
        <f t="shared" si="3"/>
        <v>68749.480071557628</v>
      </c>
      <c r="I27" s="643">
        <f t="shared" si="3"/>
        <v>11054.800066543476</v>
      </c>
      <c r="J27" s="643">
        <f t="shared" si="3"/>
        <v>0</v>
      </c>
      <c r="K27" s="643">
        <f t="shared" si="3"/>
        <v>1418.9889500591451</v>
      </c>
      <c r="L27" s="643">
        <f t="shared" si="3"/>
        <v>0</v>
      </c>
      <c r="M27" s="643">
        <f t="shared" ca="1" si="3"/>
        <v>0</v>
      </c>
      <c r="N27" s="643">
        <f t="shared" si="3"/>
        <v>3470.1098120311244</v>
      </c>
      <c r="O27" s="643">
        <f t="shared" ca="1" si="3"/>
        <v>6291.5448885117275</v>
      </c>
      <c r="P27" s="643">
        <f t="shared" si="3"/>
        <v>21.88666666666667</v>
      </c>
      <c r="Q27" s="643">
        <f t="shared" si="3"/>
        <v>152.53333333333333</v>
      </c>
      <c r="R27" s="643">
        <f t="shared" ca="1" si="3"/>
        <v>245619.0860438963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2540.7035948698635</v>
      </c>
      <c r="D40" s="635">
        <f ca="1">tertiair!C20</f>
        <v>0</v>
      </c>
      <c r="E40" s="635">
        <f ca="1">tertiair!D20</f>
        <v>1704.2429275519999</v>
      </c>
      <c r="F40" s="635">
        <f>tertiair!E20</f>
        <v>64.30202384428938</v>
      </c>
      <c r="G40" s="635">
        <f ca="1">tertiair!F20</f>
        <v>568.85995771429157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4878.1085039804448</v>
      </c>
    </row>
    <row r="41" spans="1:18">
      <c r="A41" s="762" t="s">
        <v>214</v>
      </c>
      <c r="B41" s="769"/>
      <c r="C41" s="635">
        <f ca="1">huishoudens!B12</f>
        <v>3985.6598865734718</v>
      </c>
      <c r="D41" s="635">
        <f ca="1">huishoudens!C12</f>
        <v>0</v>
      </c>
      <c r="E41" s="635">
        <f>huishoudens!D12</f>
        <v>4996.4051939560004</v>
      </c>
      <c r="F41" s="635">
        <f>huishoudens!E12</f>
        <v>305.54984179877391</v>
      </c>
      <c r="G41" s="635">
        <f>huishoudens!F12</f>
        <v>12267.602216901172</v>
      </c>
      <c r="H41" s="635">
        <f>huishoudens!G12</f>
        <v>0</v>
      </c>
      <c r="I41" s="635">
        <f>huishoudens!H12</f>
        <v>0</v>
      </c>
      <c r="J41" s="635">
        <f>huishoudens!I12</f>
        <v>0</v>
      </c>
      <c r="K41" s="635">
        <f>huishoudens!J12</f>
        <v>366.24455509588597</v>
      </c>
      <c r="L41" s="635">
        <f>huishoudens!K12</f>
        <v>0</v>
      </c>
      <c r="M41" s="635">
        <f>huishoudens!L12</f>
        <v>0</v>
      </c>
      <c r="N41" s="635">
        <f>huishoudens!M12</f>
        <v>0</v>
      </c>
      <c r="O41" s="635">
        <f>huishoudens!N12</f>
        <v>0</v>
      </c>
      <c r="P41" s="635">
        <f>huishoudens!O12</f>
        <v>0</v>
      </c>
      <c r="Q41" s="710">
        <f>huishoudens!P12</f>
        <v>0</v>
      </c>
      <c r="R41" s="790">
        <f t="shared" ca="1" si="4"/>
        <v>21921.461694325306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3253.0732240025186</v>
      </c>
      <c r="D43" s="635">
        <f ca="1">industrie!C22</f>
        <v>0</v>
      </c>
      <c r="E43" s="635">
        <f>industrie!D22</f>
        <v>212.30100333199999</v>
      </c>
      <c r="F43" s="635">
        <f>industrie!E22</f>
        <v>44.342182104463639</v>
      </c>
      <c r="G43" s="635">
        <f>industrie!F22</f>
        <v>1225.5935497625824</v>
      </c>
      <c r="H43" s="635">
        <f>industrie!G22</f>
        <v>0</v>
      </c>
      <c r="I43" s="635">
        <f>industrie!H22</f>
        <v>0</v>
      </c>
      <c r="J43" s="635">
        <f>industrie!I22</f>
        <v>0</v>
      </c>
      <c r="K43" s="635">
        <f>industrie!J22</f>
        <v>18.92232844132257</v>
      </c>
      <c r="L43" s="635">
        <f>industrie!K22</f>
        <v>0</v>
      </c>
      <c r="M43" s="635">
        <f>industrie!L22</f>
        <v>0</v>
      </c>
      <c r="N43" s="635">
        <f>industrie!M22</f>
        <v>0</v>
      </c>
      <c r="O43" s="635">
        <f>industrie!N22</f>
        <v>0</v>
      </c>
      <c r="P43" s="635">
        <f>industrie!O22</f>
        <v>0</v>
      </c>
      <c r="Q43" s="710">
        <f>industrie!P22</f>
        <v>0</v>
      </c>
      <c r="R43" s="789">
        <f t="shared" ca="1" si="4"/>
        <v>4754.2322876428871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9779.4367054458544</v>
      </c>
      <c r="D46" s="668">
        <f t="shared" ref="D46:Q46" ca="1" si="5">SUM(D39:D45)</f>
        <v>0</v>
      </c>
      <c r="E46" s="668">
        <f t="shared" ca="1" si="5"/>
        <v>6912.94912484</v>
      </c>
      <c r="F46" s="668">
        <f t="shared" si="5"/>
        <v>414.19404774752695</v>
      </c>
      <c r="G46" s="668">
        <f t="shared" ca="1" si="5"/>
        <v>14062.055724378046</v>
      </c>
      <c r="H46" s="668">
        <f t="shared" si="5"/>
        <v>0</v>
      </c>
      <c r="I46" s="668">
        <f t="shared" si="5"/>
        <v>0</v>
      </c>
      <c r="J46" s="668">
        <f t="shared" si="5"/>
        <v>0</v>
      </c>
      <c r="K46" s="668">
        <f t="shared" si="5"/>
        <v>385.16688353720855</v>
      </c>
      <c r="L46" s="668">
        <f t="shared" si="5"/>
        <v>0</v>
      </c>
      <c r="M46" s="668">
        <f t="shared" ca="1" si="5"/>
        <v>0</v>
      </c>
      <c r="N46" s="668">
        <f t="shared" si="5"/>
        <v>0</v>
      </c>
      <c r="O46" s="668">
        <f t="shared" ca="1" si="5"/>
        <v>0</v>
      </c>
      <c r="P46" s="668">
        <f t="shared" si="5"/>
        <v>0</v>
      </c>
      <c r="Q46" s="668">
        <f t="shared" si="5"/>
        <v>0</v>
      </c>
      <c r="R46" s="668">
        <f ca="1">SUM(R39:R45)</f>
        <v>31553.80248594864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1.3107054543770631</v>
      </c>
      <c r="D49" s="635">
        <f ca="1">transport!C58</f>
        <v>0</v>
      </c>
      <c r="E49" s="635">
        <f>transport!D58</f>
        <v>0</v>
      </c>
      <c r="F49" s="635">
        <f>transport!E58</f>
        <v>0</v>
      </c>
      <c r="G49" s="635">
        <f>transport!F58</f>
        <v>0</v>
      </c>
      <c r="H49" s="635">
        <f>transport!G58</f>
        <v>364.48224761501967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365.79295306939673</v>
      </c>
    </row>
    <row r="50" spans="1:18">
      <c r="A50" s="765" t="s">
        <v>296</v>
      </c>
      <c r="B50" s="775"/>
      <c r="C50" s="930">
        <f ca="1">transport!B18</f>
        <v>0.20032880582258178</v>
      </c>
      <c r="D50" s="930">
        <f>transport!C18</f>
        <v>0</v>
      </c>
      <c r="E50" s="930">
        <f>transport!D18</f>
        <v>0.65087768958810466</v>
      </c>
      <c r="F50" s="930">
        <f>transport!E18</f>
        <v>74.782112994621912</v>
      </c>
      <c r="G50" s="930">
        <f>transport!F18</f>
        <v>0</v>
      </c>
      <c r="H50" s="930">
        <f>transport!G18</f>
        <v>17991.628931490868</v>
      </c>
      <c r="I50" s="930">
        <f>transport!H18</f>
        <v>2752.6452165693254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20819.907467550227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1.5110342601996449</v>
      </c>
      <c r="D52" s="668">
        <f t="shared" ref="D52:Q52" ca="1" si="6">SUM(D48:D51)</f>
        <v>0</v>
      </c>
      <c r="E52" s="668">
        <f t="shared" si="6"/>
        <v>0.65087768958810466</v>
      </c>
      <c r="F52" s="668">
        <f t="shared" si="6"/>
        <v>74.782112994621912</v>
      </c>
      <c r="G52" s="668">
        <f t="shared" si="6"/>
        <v>0</v>
      </c>
      <c r="H52" s="668">
        <f t="shared" si="6"/>
        <v>18356.111179105887</v>
      </c>
      <c r="I52" s="668">
        <f t="shared" si="6"/>
        <v>2752.6452165693254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21185.700420619625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681.20073179290534</v>
      </c>
      <c r="D54" s="930">
        <f ca="1">+landbouw!C12</f>
        <v>0</v>
      </c>
      <c r="E54" s="930">
        <f>+landbouw!D12</f>
        <v>23.329946772000003</v>
      </c>
      <c r="F54" s="930">
        <f>+landbouw!E12</f>
        <v>6.6897111838878738</v>
      </c>
      <c r="G54" s="930">
        <f>+landbouw!F12</f>
        <v>3271.8550229347984</v>
      </c>
      <c r="H54" s="930">
        <f>+landbouw!G12</f>
        <v>0</v>
      </c>
      <c r="I54" s="930">
        <f>+landbouw!H12</f>
        <v>0</v>
      </c>
      <c r="J54" s="930">
        <f>+landbouw!I12</f>
        <v>0</v>
      </c>
      <c r="K54" s="930">
        <f>+landbouw!J12</f>
        <v>117.15520478372882</v>
      </c>
      <c r="L54" s="930">
        <f>+landbouw!K12</f>
        <v>0</v>
      </c>
      <c r="M54" s="930">
        <f>+landbouw!L12</f>
        <v>0</v>
      </c>
      <c r="N54" s="930">
        <f>+landbouw!M12</f>
        <v>0</v>
      </c>
      <c r="O54" s="930">
        <f>+landbouw!N12</f>
        <v>0</v>
      </c>
      <c r="P54" s="930">
        <f>+landbouw!O12</f>
        <v>0</v>
      </c>
      <c r="Q54" s="931">
        <f>+landbouw!P12</f>
        <v>0</v>
      </c>
      <c r="R54" s="667">
        <f ca="1">SUM(C54:Q54)</f>
        <v>4100.2306174673204</v>
      </c>
    </row>
    <row r="55" spans="1:18" ht="15" thickBot="1">
      <c r="A55" s="765" t="s">
        <v>864</v>
      </c>
      <c r="B55" s="775"/>
      <c r="C55" s="930">
        <f ca="1">C25*'EF ele_warmte'!B12</f>
        <v>277.45938440516517</v>
      </c>
      <c r="D55" s="930"/>
      <c r="E55" s="930">
        <f>E25*EF_CO2_aardgas</f>
        <v>293.79263800000001</v>
      </c>
      <c r="F55" s="930"/>
      <c r="G55" s="930"/>
      <c r="H55" s="930"/>
      <c r="I55" s="930"/>
      <c r="J55" s="930"/>
      <c r="K55" s="930"/>
      <c r="L55" s="930"/>
      <c r="M55" s="930"/>
      <c r="N55" s="930"/>
      <c r="O55" s="930"/>
      <c r="P55" s="930"/>
      <c r="Q55" s="931"/>
      <c r="R55" s="667">
        <f ca="1">SUM(C55:Q55)</f>
        <v>571.25202240516523</v>
      </c>
    </row>
    <row r="56" spans="1:18" ht="15.75" thickBot="1">
      <c r="A56" s="763" t="s">
        <v>865</v>
      </c>
      <c r="B56" s="776"/>
      <c r="C56" s="668">
        <f ca="1">SUM(C54:C55)</f>
        <v>958.66011619807045</v>
      </c>
      <c r="D56" s="668">
        <f t="shared" ref="D56:Q56" ca="1" si="7">SUM(D54:D55)</f>
        <v>0</v>
      </c>
      <c r="E56" s="668">
        <f t="shared" si="7"/>
        <v>317.12258477200004</v>
      </c>
      <c r="F56" s="668">
        <f t="shared" si="7"/>
        <v>6.6897111838878738</v>
      </c>
      <c r="G56" s="668">
        <f t="shared" si="7"/>
        <v>3271.8550229347984</v>
      </c>
      <c r="H56" s="668">
        <f t="shared" si="7"/>
        <v>0</v>
      </c>
      <c r="I56" s="668">
        <f t="shared" si="7"/>
        <v>0</v>
      </c>
      <c r="J56" s="668">
        <f t="shared" si="7"/>
        <v>0</v>
      </c>
      <c r="K56" s="668">
        <f t="shared" si="7"/>
        <v>117.15520478372882</v>
      </c>
      <c r="L56" s="668">
        <f t="shared" si="7"/>
        <v>0</v>
      </c>
      <c r="M56" s="668">
        <f t="shared" si="7"/>
        <v>0</v>
      </c>
      <c r="N56" s="668">
        <f t="shared" si="7"/>
        <v>0</v>
      </c>
      <c r="O56" s="668">
        <f t="shared" si="7"/>
        <v>0</v>
      </c>
      <c r="P56" s="668">
        <f t="shared" si="7"/>
        <v>0</v>
      </c>
      <c r="Q56" s="669">
        <f t="shared" si="7"/>
        <v>0</v>
      </c>
      <c r="R56" s="670">
        <f ca="1">SUM(R54:R55)</f>
        <v>4671.4826398724854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10739.607855904125</v>
      </c>
      <c r="D61" s="676">
        <f t="shared" ref="D61:Q61" ca="1" si="8">D46+D52+D56</f>
        <v>0</v>
      </c>
      <c r="E61" s="676">
        <f t="shared" ca="1" si="8"/>
        <v>7230.7225873015877</v>
      </c>
      <c r="F61" s="676">
        <f t="shared" si="8"/>
        <v>495.66587192603674</v>
      </c>
      <c r="G61" s="676">
        <f t="shared" ca="1" si="8"/>
        <v>17333.910747312846</v>
      </c>
      <c r="H61" s="676">
        <f t="shared" si="8"/>
        <v>18356.111179105887</v>
      </c>
      <c r="I61" s="676">
        <f t="shared" si="8"/>
        <v>2752.6452165693254</v>
      </c>
      <c r="J61" s="676">
        <f t="shared" si="8"/>
        <v>0</v>
      </c>
      <c r="K61" s="676">
        <f t="shared" si="8"/>
        <v>502.32208832093738</v>
      </c>
      <c r="L61" s="676">
        <f t="shared" si="8"/>
        <v>0</v>
      </c>
      <c r="M61" s="676">
        <f t="shared" ca="1" si="8"/>
        <v>0</v>
      </c>
      <c r="N61" s="676">
        <f t="shared" si="8"/>
        <v>0</v>
      </c>
      <c r="O61" s="676">
        <f t="shared" ca="1" si="8"/>
        <v>0</v>
      </c>
      <c r="P61" s="676">
        <f t="shared" si="8"/>
        <v>0</v>
      </c>
      <c r="Q61" s="676">
        <f t="shared" si="8"/>
        <v>0</v>
      </c>
      <c r="R61" s="676">
        <f ca="1">R46+R52+R56</f>
        <v>57410.985546440745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0.20829533500682049</v>
      </c>
      <c r="D63" s="720">
        <f t="shared" ca="1" si="9"/>
        <v>0</v>
      </c>
      <c r="E63" s="932">
        <f t="shared" ca="1" si="9"/>
        <v>0.20199999999999999</v>
      </c>
      <c r="F63" s="720">
        <f t="shared" si="9"/>
        <v>0.22700000000000001</v>
      </c>
      <c r="G63" s="720">
        <f t="shared" ca="1" si="9"/>
        <v>0.26700000000000007</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2964.0110907433741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2964.0110907433741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19134.657463370291</v>
      </c>
      <c r="C4" s="445">
        <f>huishoudens!C8</f>
        <v>0</v>
      </c>
      <c r="D4" s="445">
        <f>huishoudens!D8</f>
        <v>24734.679178000002</v>
      </c>
      <c r="E4" s="445">
        <f>huishoudens!E8</f>
        <v>1346.0345453690481</v>
      </c>
      <c r="F4" s="445">
        <f>huishoudens!F8</f>
        <v>45946.075718730979</v>
      </c>
      <c r="G4" s="445">
        <f>huishoudens!G8</f>
        <v>0</v>
      </c>
      <c r="H4" s="445">
        <f>huishoudens!H8</f>
        <v>0</v>
      </c>
      <c r="I4" s="445">
        <f>huishoudens!I8</f>
        <v>0</v>
      </c>
      <c r="J4" s="445">
        <f>huishoudens!J8</f>
        <v>1034.5891386889434</v>
      </c>
      <c r="K4" s="445">
        <f>huishoudens!K8</f>
        <v>0</v>
      </c>
      <c r="L4" s="445">
        <f>huishoudens!L8</f>
        <v>0</v>
      </c>
      <c r="M4" s="445">
        <f>huishoudens!M8</f>
        <v>0</v>
      </c>
      <c r="N4" s="445">
        <f>huishoudens!N8</f>
        <v>5511.0468730830044</v>
      </c>
      <c r="O4" s="445">
        <f>huishoudens!O8</f>
        <v>21.88666666666667</v>
      </c>
      <c r="P4" s="446">
        <f>huishoudens!P8</f>
        <v>152.53333333333333</v>
      </c>
      <c r="Q4" s="447">
        <f>SUM(B4:P4)</f>
        <v>97881.502917242266</v>
      </c>
    </row>
    <row r="5" spans="1:17">
      <c r="A5" s="444" t="s">
        <v>149</v>
      </c>
      <c r="B5" s="445">
        <f ca="1">tertiair!B16</f>
        <v>11411.496000000003</v>
      </c>
      <c r="C5" s="445">
        <f ca="1">tertiair!C16</f>
        <v>0</v>
      </c>
      <c r="D5" s="445">
        <f ca="1">tertiair!D16</f>
        <v>8436.8461759999991</v>
      </c>
      <c r="E5" s="445">
        <f>tertiair!E16</f>
        <v>283.26882750788269</v>
      </c>
      <c r="F5" s="445">
        <f ca="1">tertiair!F16</f>
        <v>2130.5616393793689</v>
      </c>
      <c r="G5" s="445">
        <f>tertiair!G16</f>
        <v>0</v>
      </c>
      <c r="H5" s="445">
        <f>tertiair!H16</f>
        <v>0</v>
      </c>
      <c r="I5" s="445">
        <f>tertiair!I16</f>
        <v>0</v>
      </c>
      <c r="J5" s="445">
        <f>tertiair!J16</f>
        <v>0</v>
      </c>
      <c r="K5" s="445">
        <f>tertiair!K16</f>
        <v>0</v>
      </c>
      <c r="L5" s="445">
        <f ca="1">tertiair!L16</f>
        <v>0</v>
      </c>
      <c r="M5" s="445">
        <f>tertiair!M16</f>
        <v>0</v>
      </c>
      <c r="N5" s="445">
        <f ca="1">tertiair!N16</f>
        <v>369.7719169608207</v>
      </c>
      <c r="O5" s="445">
        <f>tertiair!O16</f>
        <v>0</v>
      </c>
      <c r="P5" s="446">
        <f>tertiair!P16</f>
        <v>0</v>
      </c>
      <c r="Q5" s="444">
        <f t="shared" ref="Q5:Q14" ca="1" si="0">SUM(B5:P5)</f>
        <v>22631.944559848074</v>
      </c>
    </row>
    <row r="6" spans="1:17">
      <c r="A6" s="444" t="s">
        <v>187</v>
      </c>
      <c r="B6" s="445">
        <f>'openbare verlichting'!B8</f>
        <v>786.10599999999999</v>
      </c>
      <c r="C6" s="445"/>
      <c r="D6" s="445"/>
      <c r="E6" s="445"/>
      <c r="F6" s="445"/>
      <c r="G6" s="445"/>
      <c r="H6" s="445"/>
      <c r="I6" s="445"/>
      <c r="J6" s="445"/>
      <c r="K6" s="445"/>
      <c r="L6" s="445"/>
      <c r="M6" s="445"/>
      <c r="N6" s="445"/>
      <c r="O6" s="445"/>
      <c r="P6" s="446"/>
      <c r="Q6" s="444">
        <f t="shared" si="0"/>
        <v>786.10599999999999</v>
      </c>
    </row>
    <row r="7" spans="1:17">
      <c r="A7" s="444" t="s">
        <v>105</v>
      </c>
      <c r="B7" s="445">
        <f>landbouw!B8</f>
        <v>3270.36</v>
      </c>
      <c r="C7" s="445">
        <f>landbouw!C8</f>
        <v>0</v>
      </c>
      <c r="D7" s="445">
        <f>landbouw!D8</f>
        <v>115.494786</v>
      </c>
      <c r="E7" s="445">
        <f>landbouw!E8</f>
        <v>29.470093321091955</v>
      </c>
      <c r="F7" s="445">
        <f>landbouw!F8</f>
        <v>12254.138662677147</v>
      </c>
      <c r="G7" s="445">
        <f>landbouw!G8</f>
        <v>0</v>
      </c>
      <c r="H7" s="445">
        <f>landbouw!H8</f>
        <v>0</v>
      </c>
      <c r="I7" s="445">
        <f>landbouw!I8</f>
        <v>0</v>
      </c>
      <c r="J7" s="445">
        <f>landbouw!J8</f>
        <v>330.94690616872549</v>
      </c>
      <c r="K7" s="445">
        <f>landbouw!K8</f>
        <v>0</v>
      </c>
      <c r="L7" s="445">
        <f>landbouw!L8</f>
        <v>0</v>
      </c>
      <c r="M7" s="445">
        <f>landbouw!M8</f>
        <v>0</v>
      </c>
      <c r="N7" s="445">
        <f>landbouw!N8</f>
        <v>0</v>
      </c>
      <c r="O7" s="445">
        <f>landbouw!O8</f>
        <v>0</v>
      </c>
      <c r="P7" s="446">
        <f>landbouw!P8</f>
        <v>0</v>
      </c>
      <c r="Q7" s="444">
        <f t="shared" si="0"/>
        <v>16000.410448166966</v>
      </c>
    </row>
    <row r="8" spans="1:17">
      <c r="A8" s="444" t="s">
        <v>613</v>
      </c>
      <c r="B8" s="445">
        <f>industrie!B18</f>
        <v>15617.599999999999</v>
      </c>
      <c r="C8" s="445">
        <f>industrie!C18</f>
        <v>0</v>
      </c>
      <c r="D8" s="445">
        <f>industrie!D18</f>
        <v>1050.995066</v>
      </c>
      <c r="E8" s="445">
        <f>industrie!E18</f>
        <v>195.34000927076494</v>
      </c>
      <c r="F8" s="445">
        <f>industrie!F18</f>
        <v>4590.2380140920686</v>
      </c>
      <c r="G8" s="445">
        <f>industrie!G18</f>
        <v>0</v>
      </c>
      <c r="H8" s="445">
        <f>industrie!H18</f>
        <v>0</v>
      </c>
      <c r="I8" s="445">
        <f>industrie!I18</f>
        <v>0</v>
      </c>
      <c r="J8" s="445">
        <f>industrie!J18</f>
        <v>53.452905201476185</v>
      </c>
      <c r="K8" s="445">
        <f>industrie!K18</f>
        <v>0</v>
      </c>
      <c r="L8" s="445">
        <f>industrie!L18</f>
        <v>0</v>
      </c>
      <c r="M8" s="445">
        <f>industrie!M18</f>
        <v>0</v>
      </c>
      <c r="N8" s="445">
        <f>industrie!N18</f>
        <v>410.72609846790243</v>
      </c>
      <c r="O8" s="445">
        <f>industrie!O18</f>
        <v>0</v>
      </c>
      <c r="P8" s="446">
        <f>industrie!P18</f>
        <v>0</v>
      </c>
      <c r="Q8" s="444">
        <f t="shared" si="0"/>
        <v>21918.352093032208</v>
      </c>
    </row>
    <row r="9" spans="1:17" s="450" customFormat="1">
      <c r="A9" s="448" t="s">
        <v>555</v>
      </c>
      <c r="B9" s="449">
        <f>transport!B14</f>
        <v>0.96175368409485595</v>
      </c>
      <c r="C9" s="449">
        <f>transport!C14</f>
        <v>0</v>
      </c>
      <c r="D9" s="449">
        <f>transport!D14</f>
        <v>3.2221667801391316</v>
      </c>
      <c r="E9" s="449">
        <f>transport!E14</f>
        <v>329.43662112168244</v>
      </c>
      <c r="F9" s="449">
        <f>transport!F14</f>
        <v>0</v>
      </c>
      <c r="G9" s="449">
        <f>transport!G14</f>
        <v>67384.37802056504</v>
      </c>
      <c r="H9" s="449">
        <f>transport!H14</f>
        <v>11054.800066543476</v>
      </c>
      <c r="I9" s="449">
        <f>transport!I14</f>
        <v>0</v>
      </c>
      <c r="J9" s="449">
        <f>transport!J14</f>
        <v>0</v>
      </c>
      <c r="K9" s="449">
        <f>transport!K14</f>
        <v>0</v>
      </c>
      <c r="L9" s="449">
        <f>transport!L14</f>
        <v>0</v>
      </c>
      <c r="M9" s="449">
        <f>transport!M14</f>
        <v>3411.6613859045483</v>
      </c>
      <c r="N9" s="449">
        <f>transport!N14</f>
        <v>0</v>
      </c>
      <c r="O9" s="449">
        <f>transport!O14</f>
        <v>0</v>
      </c>
      <c r="P9" s="449">
        <f>transport!P14</f>
        <v>0</v>
      </c>
      <c r="Q9" s="448">
        <f>SUM(B9:P9)</f>
        <v>82184.460014598983</v>
      </c>
    </row>
    <row r="10" spans="1:17">
      <c r="A10" s="444" t="s">
        <v>545</v>
      </c>
      <c r="B10" s="445">
        <f>transport!B54</f>
        <v>6.2925338886449156</v>
      </c>
      <c r="C10" s="445">
        <f>transport!C54</f>
        <v>0</v>
      </c>
      <c r="D10" s="445">
        <f>transport!D54</f>
        <v>0</v>
      </c>
      <c r="E10" s="445">
        <f>transport!E54</f>
        <v>0</v>
      </c>
      <c r="F10" s="445">
        <f>transport!F54</f>
        <v>0</v>
      </c>
      <c r="G10" s="445">
        <f>transport!G54</f>
        <v>1365.1020509925829</v>
      </c>
      <c r="H10" s="445">
        <f>transport!H54</f>
        <v>0</v>
      </c>
      <c r="I10" s="445">
        <f>transport!I54</f>
        <v>0</v>
      </c>
      <c r="J10" s="445">
        <f>transport!J54</f>
        <v>0</v>
      </c>
      <c r="K10" s="445">
        <f>transport!K54</f>
        <v>0</v>
      </c>
      <c r="L10" s="445">
        <f>transport!L54</f>
        <v>0</v>
      </c>
      <c r="M10" s="445">
        <f>transport!M54</f>
        <v>58.448426126576273</v>
      </c>
      <c r="N10" s="445">
        <f>transport!N54</f>
        <v>0</v>
      </c>
      <c r="O10" s="445">
        <f>transport!O54</f>
        <v>0</v>
      </c>
      <c r="P10" s="446">
        <f>transport!P54</f>
        <v>0</v>
      </c>
      <c r="Q10" s="444">
        <f t="shared" si="0"/>
        <v>1429.8430110078041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1332.048</v>
      </c>
      <c r="C14" s="452"/>
      <c r="D14" s="452">
        <f>'SEAP template'!E25</f>
        <v>1454.4190000000001</v>
      </c>
      <c r="E14" s="452"/>
      <c r="F14" s="452"/>
      <c r="G14" s="452"/>
      <c r="H14" s="452"/>
      <c r="I14" s="452"/>
      <c r="J14" s="452"/>
      <c r="K14" s="452"/>
      <c r="L14" s="452"/>
      <c r="M14" s="452"/>
      <c r="N14" s="452"/>
      <c r="O14" s="452"/>
      <c r="P14" s="453"/>
      <c r="Q14" s="444">
        <f t="shared" si="0"/>
        <v>2786.4670000000001</v>
      </c>
    </row>
    <row r="15" spans="1:17" s="457" customFormat="1">
      <c r="A15" s="454" t="s">
        <v>549</v>
      </c>
      <c r="B15" s="455">
        <f ca="1">SUM(B4:B14)</f>
        <v>51559.521750943029</v>
      </c>
      <c r="C15" s="455">
        <f t="shared" ref="C15:Q15" ca="1" si="1">SUM(C4:C14)</f>
        <v>0</v>
      </c>
      <c r="D15" s="455">
        <f t="shared" ca="1" si="1"/>
        <v>35795.656372780148</v>
      </c>
      <c r="E15" s="455">
        <f t="shared" si="1"/>
        <v>2183.5500965904703</v>
      </c>
      <c r="F15" s="455">
        <f t="shared" ca="1" si="1"/>
        <v>64921.014034879568</v>
      </c>
      <c r="G15" s="455">
        <f t="shared" si="1"/>
        <v>68749.480071557628</v>
      </c>
      <c r="H15" s="455">
        <f t="shared" si="1"/>
        <v>11054.800066543476</v>
      </c>
      <c r="I15" s="455">
        <f t="shared" si="1"/>
        <v>0</v>
      </c>
      <c r="J15" s="455">
        <f t="shared" si="1"/>
        <v>1418.9889500591451</v>
      </c>
      <c r="K15" s="455">
        <f t="shared" si="1"/>
        <v>0</v>
      </c>
      <c r="L15" s="455">
        <f t="shared" ca="1" si="1"/>
        <v>0</v>
      </c>
      <c r="M15" s="455">
        <f t="shared" si="1"/>
        <v>3470.1098120311244</v>
      </c>
      <c r="N15" s="455">
        <f t="shared" ca="1" si="1"/>
        <v>6291.5448885117275</v>
      </c>
      <c r="O15" s="455">
        <f t="shared" si="1"/>
        <v>21.88666666666667</v>
      </c>
      <c r="P15" s="455">
        <f t="shared" si="1"/>
        <v>152.53333333333333</v>
      </c>
      <c r="Q15" s="455">
        <f t="shared" ca="1" si="1"/>
        <v>245619.0860438963</v>
      </c>
    </row>
    <row r="17" spans="1:17">
      <c r="A17" s="458" t="s">
        <v>550</v>
      </c>
      <c r="B17" s="725">
        <f ca="1">huishoudens!B10</f>
        <v>0.20829533500682043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3985.6598865734718</v>
      </c>
      <c r="C22" s="445">
        <f t="shared" ref="C22:C32" ca="1" si="3">C4*$C$17</f>
        <v>0</v>
      </c>
      <c r="D22" s="445">
        <f t="shared" ref="D22:D32" si="4">D4*$D$17</f>
        <v>4996.4051939560004</v>
      </c>
      <c r="E22" s="445">
        <f t="shared" ref="E22:E32" si="5">E4*$E$17</f>
        <v>305.54984179877391</v>
      </c>
      <c r="F22" s="445">
        <f t="shared" ref="F22:F32" si="6">F4*$F$17</f>
        <v>12267.602216901172</v>
      </c>
      <c r="G22" s="445">
        <f t="shared" ref="G22:G32" si="7">G4*$G$17</f>
        <v>0</v>
      </c>
      <c r="H22" s="445">
        <f t="shared" ref="H22:H32" si="8">H4*$H$17</f>
        <v>0</v>
      </c>
      <c r="I22" s="445">
        <f t="shared" ref="I22:I32" si="9">I4*$I$17</f>
        <v>0</v>
      </c>
      <c r="J22" s="445">
        <f t="shared" ref="J22:J32" si="10">J4*$J$17</f>
        <v>366.24455509588597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21921.461694325306</v>
      </c>
    </row>
    <row r="23" spans="1:17">
      <c r="A23" s="444" t="s">
        <v>149</v>
      </c>
      <c r="B23" s="445">
        <f t="shared" ca="1" si="2"/>
        <v>2376.9613822489919</v>
      </c>
      <c r="C23" s="445">
        <f t="shared" ca="1" si="3"/>
        <v>0</v>
      </c>
      <c r="D23" s="445">
        <f t="shared" ca="1" si="4"/>
        <v>1704.2429275519999</v>
      </c>
      <c r="E23" s="445">
        <f t="shared" si="5"/>
        <v>64.30202384428938</v>
      </c>
      <c r="F23" s="445">
        <f t="shared" ca="1" si="6"/>
        <v>568.85995771429157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4714.3662913595726</v>
      </c>
    </row>
    <row r="24" spans="1:17">
      <c r="A24" s="444" t="s">
        <v>187</v>
      </c>
      <c r="B24" s="445">
        <f t="shared" ca="1" si="2"/>
        <v>163.74221262087158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163.74221262087158</v>
      </c>
    </row>
    <row r="25" spans="1:17">
      <c r="A25" s="444" t="s">
        <v>105</v>
      </c>
      <c r="B25" s="445">
        <f t="shared" ca="1" si="2"/>
        <v>681.20073179290534</v>
      </c>
      <c r="C25" s="445">
        <f t="shared" ca="1" si="3"/>
        <v>0</v>
      </c>
      <c r="D25" s="445">
        <f t="shared" si="4"/>
        <v>23.329946772000003</v>
      </c>
      <c r="E25" s="445">
        <f t="shared" si="5"/>
        <v>6.6897111838878738</v>
      </c>
      <c r="F25" s="445">
        <f t="shared" si="6"/>
        <v>3271.8550229347984</v>
      </c>
      <c r="G25" s="445">
        <f t="shared" si="7"/>
        <v>0</v>
      </c>
      <c r="H25" s="445">
        <f t="shared" si="8"/>
        <v>0</v>
      </c>
      <c r="I25" s="445">
        <f t="shared" si="9"/>
        <v>0</v>
      </c>
      <c r="J25" s="445">
        <f t="shared" si="10"/>
        <v>117.15520478372882</v>
      </c>
      <c r="K25" s="445">
        <f t="shared" si="11"/>
        <v>0</v>
      </c>
      <c r="L25" s="445">
        <f t="shared" si="12"/>
        <v>0</v>
      </c>
      <c r="M25" s="445">
        <f t="shared" si="13"/>
        <v>0</v>
      </c>
      <c r="N25" s="445">
        <f t="shared" si="14"/>
        <v>0</v>
      </c>
      <c r="O25" s="445">
        <f t="shared" si="15"/>
        <v>0</v>
      </c>
      <c r="P25" s="446">
        <f t="shared" si="16"/>
        <v>0</v>
      </c>
      <c r="Q25" s="444">
        <f t="shared" ca="1" si="17"/>
        <v>4100.2306174673204</v>
      </c>
    </row>
    <row r="26" spans="1:17">
      <c r="A26" s="444" t="s">
        <v>613</v>
      </c>
      <c r="B26" s="445">
        <f t="shared" ca="1" si="2"/>
        <v>3253.0732240025186</v>
      </c>
      <c r="C26" s="445">
        <f t="shared" ca="1" si="3"/>
        <v>0</v>
      </c>
      <c r="D26" s="445">
        <f t="shared" si="4"/>
        <v>212.30100333199999</v>
      </c>
      <c r="E26" s="445">
        <f t="shared" si="5"/>
        <v>44.342182104463639</v>
      </c>
      <c r="F26" s="445">
        <f t="shared" si="6"/>
        <v>1225.5935497625824</v>
      </c>
      <c r="G26" s="445">
        <f t="shared" si="7"/>
        <v>0</v>
      </c>
      <c r="H26" s="445">
        <f t="shared" si="8"/>
        <v>0</v>
      </c>
      <c r="I26" s="445">
        <f t="shared" si="9"/>
        <v>0</v>
      </c>
      <c r="J26" s="445">
        <f t="shared" si="10"/>
        <v>18.92232844132257</v>
      </c>
      <c r="K26" s="445">
        <f t="shared" si="11"/>
        <v>0</v>
      </c>
      <c r="L26" s="445">
        <f t="shared" si="12"/>
        <v>0</v>
      </c>
      <c r="M26" s="445">
        <f t="shared" si="13"/>
        <v>0</v>
      </c>
      <c r="N26" s="445">
        <f t="shared" si="14"/>
        <v>0</v>
      </c>
      <c r="O26" s="445">
        <f t="shared" si="15"/>
        <v>0</v>
      </c>
      <c r="P26" s="446">
        <f t="shared" si="16"/>
        <v>0</v>
      </c>
      <c r="Q26" s="444">
        <f t="shared" ca="1" si="17"/>
        <v>4754.2322876428871</v>
      </c>
    </row>
    <row r="27" spans="1:17" s="450" customFormat="1">
      <c r="A27" s="448" t="s">
        <v>555</v>
      </c>
      <c r="B27" s="719">
        <f t="shared" ca="1" si="2"/>
        <v>0.20032880582258178</v>
      </c>
      <c r="C27" s="449">
        <f t="shared" ca="1" si="3"/>
        <v>0</v>
      </c>
      <c r="D27" s="449">
        <f t="shared" si="4"/>
        <v>0.65087768958810466</v>
      </c>
      <c r="E27" s="449">
        <f t="shared" si="5"/>
        <v>74.782112994621912</v>
      </c>
      <c r="F27" s="449">
        <f t="shared" si="6"/>
        <v>0</v>
      </c>
      <c r="G27" s="449">
        <f t="shared" si="7"/>
        <v>17991.628931490868</v>
      </c>
      <c r="H27" s="449">
        <f t="shared" si="8"/>
        <v>2752.6452165693254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20819.907467550227</v>
      </c>
    </row>
    <row r="28" spans="1:17">
      <c r="A28" s="444" t="s">
        <v>545</v>
      </c>
      <c r="B28" s="445">
        <f t="shared" ca="1" si="2"/>
        <v>1.3107054543770631</v>
      </c>
      <c r="C28" s="445">
        <f t="shared" ca="1" si="3"/>
        <v>0</v>
      </c>
      <c r="D28" s="445">
        <f t="shared" si="4"/>
        <v>0</v>
      </c>
      <c r="E28" s="445">
        <f t="shared" si="5"/>
        <v>0</v>
      </c>
      <c r="F28" s="445">
        <f t="shared" si="6"/>
        <v>0</v>
      </c>
      <c r="G28" s="445">
        <f t="shared" si="7"/>
        <v>364.48224761501967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365.79295306939673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277.45938440516517</v>
      </c>
      <c r="C32" s="445">
        <f t="shared" ca="1" si="3"/>
        <v>0</v>
      </c>
      <c r="D32" s="445">
        <f t="shared" si="4"/>
        <v>293.79263800000001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571.25202240516523</v>
      </c>
    </row>
    <row r="33" spans="1:17" s="457" customFormat="1">
      <c r="A33" s="454" t="s">
        <v>549</v>
      </c>
      <c r="B33" s="455">
        <f ca="1">SUM(B22:B32)</f>
        <v>10739.607855904125</v>
      </c>
      <c r="C33" s="455">
        <f t="shared" ref="C33:Q33" ca="1" si="19">SUM(C22:C32)</f>
        <v>0</v>
      </c>
      <c r="D33" s="455">
        <f t="shared" ca="1" si="19"/>
        <v>7230.7225873015877</v>
      </c>
      <c r="E33" s="455">
        <f t="shared" si="19"/>
        <v>495.66587192603674</v>
      </c>
      <c r="F33" s="455">
        <f t="shared" ca="1" si="19"/>
        <v>17333.910747312846</v>
      </c>
      <c r="G33" s="455">
        <f t="shared" si="19"/>
        <v>18356.111179105887</v>
      </c>
      <c r="H33" s="455">
        <f t="shared" si="19"/>
        <v>2752.6452165693254</v>
      </c>
      <c r="I33" s="455">
        <f t="shared" si="19"/>
        <v>0</v>
      </c>
      <c r="J33" s="455">
        <f t="shared" si="19"/>
        <v>502.32208832093738</v>
      </c>
      <c r="K33" s="455">
        <f t="shared" si="19"/>
        <v>0</v>
      </c>
      <c r="L33" s="455">
        <f t="shared" ca="1" si="19"/>
        <v>0</v>
      </c>
      <c r="M33" s="455">
        <f t="shared" si="19"/>
        <v>0</v>
      </c>
      <c r="N33" s="455">
        <f t="shared" ca="1" si="19"/>
        <v>0</v>
      </c>
      <c r="O33" s="455">
        <f t="shared" si="19"/>
        <v>0</v>
      </c>
      <c r="P33" s="455">
        <f t="shared" si="19"/>
        <v>0</v>
      </c>
      <c r="Q33" s="455">
        <f t="shared" ca="1" si="19"/>
        <v>57410.985546440745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2964.0110907433741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2964.0110907433741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0.20829533500682043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0.20829533500682043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2022-07-26T13:07:20Z</dcterms:modified>
</cp:coreProperties>
</file>