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026AD2E2-9918-48DA-BB85-FB375BD2AAA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<sst xmlns="http://schemas.openxmlformats.org/spreadsheetml/2006/main" count="2513" uniqueCount="962">
  <si>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</si>
  <si>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</si>
  <si>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</si>
  <si>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</si>
  <si>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</si>
  <si>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</si>
  <si>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</si>
  <si>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</si>
  <si>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</si>
  <si>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</si>
  <si>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</si>
  <si>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</si>
  <si>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</si>
  <si>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</si>
  <si>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</si>
  <si>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</si>
  <si>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</si>
  <si>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</si>
  <si>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</si>
  <si>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</si>
  <si>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</si>
  <si>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</si>
  <si>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</si>
  <si>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</si>
  <si>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</si>
  <si>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</si>
  <si>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</si>
  <si>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</si>
  <si>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</si>
  <si>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</si>
  <si>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</si>
  <si>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</si>
  <si>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</si>
  <si>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</si>
  <si>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</si>
  <si>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</si>
  <si>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</si>
  <si>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</si>
  <si>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</si>
  <si>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</si>
  <si>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</si>
  <si>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</si>
  <si>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</si>
  <si>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</si>
  <si>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</si>
  <si>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</si>
  <si>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</si>
  <si>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</si>
  <si>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</si>
  <si>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</si>
  <si>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</si>
  <si>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</si>
  <si>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</si>
  <si>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</si>
  <si>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</si>
  <si>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</si>
  <si>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</si>
  <si>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</si>
  <si>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</si>
  <si>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</si>
  <si>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</si>
  <si>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</si>
  <si>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</si>
  <si>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</si>
  <si>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</si>
  <si>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</si>
  <si>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</si>
  <si>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</si>
  <si>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</si>
  <si>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</si>
  <si>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</si>
  <si>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</si>
  <si>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</si>
  <si>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</si>
  <si>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</si>
  <si>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</si>
  <si>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</si>
  <si>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</si>
  <si>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</si>
  <si>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</si>
  <si>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</si>
  <si>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</si>
  <si>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</si>
  <si>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</si>
  <si>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</si>
  <si>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</si>
  <si>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</si>
  <si>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</si>
  <si>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</si>
  <si>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</si>
  <si>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</si>
  <si>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</si>
  <si>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</si>
  <si>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</si>
  <si>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</si>
  <si>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</si>
  <si>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</si>
  <si>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</si>
  <si>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</si>
  <si>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</si>
  <si>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</si>
  <si>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</si>
  <si>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</si>
  <si>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</si>
  <si>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</si>
  <si>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</si>
  <si>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</si>
  <si>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</si>
  <si>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</si>
  <si>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</si>
  <si>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</si>
  <si>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</si>
  <si>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</si>
  <si>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</si>
  <si>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</si>
  <si>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</si>
  <si>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</si>
  <si>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</si>
  <si>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</si>
  <si>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</si>
  <si>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</si>
  <si>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</si>
  <si>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</si>
  <si>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</si>
  <si>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</si>
  <si>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</si>
  <si>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</si>
  <si>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</si>
  <si>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</si>
  <si>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</si>
  <si>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</si>
  <si>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</si>
  <si>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</si>
  <si>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</si>
  <si>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</si>
  <si>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</si>
  <si>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</si>
  <si>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</si>
  <si>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</si>
  <si>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</si>
  <si>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</si>
  <si>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</si>
  <si>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</si>
  <si>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</si>
  <si>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</si>
  <si>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</si>
  <si>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</si>
  <si>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</si>
  <si>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</si>
  <si>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</si>
  <si>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</si>
  <si>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</si>
  <si>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</si>
  <si>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</si>
  <si>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</si>
  <si>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</si>
  <si>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</si>
  <si>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</si>
  <si>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</si>
  <si>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</si>
  <si>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</si>
  <si>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</si>
  <si>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</si>
  <si>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</si>
  <si>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</si>
  <si>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</si>
  <si>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</si>
  <si>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</si>
  <si>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</si>
  <si>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</si>
  <si>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</si>
  <si>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</si>
  <si>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</si>
  <si>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</si>
  <si>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</si>
  <si>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</si>
  <si>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</si>
  <si>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</si>
  <si>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</si>
  <si>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</si>
  <si>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</si>
  <si>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</si>
  <si>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</si>
  <si>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</si>
  <si>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</si>
  <si>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</si>
  <si>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</si>
  <si>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</si>
  <si>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</si>
  <si>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</si>
  <si>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</si>
  <si>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</si>
  <si>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</si>
  <si>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</si>
  <si>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</si>
  <si>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</si>
  <si>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</si>
  <si>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</si>
  <si>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</si>
  <si>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</si>
  <si>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</si>
  <si>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</si>
  <si>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</si>
  <si>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</si>
  <si>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</si>
  <si>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</si>
  <si>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</si>
  <si>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</si>
  <si>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</si>
  <si>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</si>
  <si>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</si>
  <si>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</si>
  <si>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</si>
  <si>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</si>
  <si>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</si>
  <si>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</si>
  <si>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</si>
  <si>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</si>
  <si>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</si>
  <si>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</si>
  <si>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</si>
  <si>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</si>
  <si>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</si>
  <si>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</si>
  <si>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</si>
  <si>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</si>
  <si>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</si>
  <si>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</si>
  <si>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</si>
  <si>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</si>
  <si>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</si>
  <si>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</si>
  <si>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</si>
  <si>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</si>
  <si>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</si>
  <si>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</si>
  <si>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</si>
  <si>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</si>
  <si>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</si>
  <si>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</si>
  <si>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</si>
  <si>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</si>
  <si>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</si>
  <si>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</si>
  <si>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</si>
  <si>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</si>
  <si>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</si>
  <si>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</si>
  <si>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</si>
  <si>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</si>
  <si>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</si>
  <si>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</si>
  <si>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</si>
  <si>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</si>
  <si>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</si>
  <si>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</si>
  <si>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</si>
  <si>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</si>
  <si>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</si>
  <si>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</si>
  <si>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</si>
  <si>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</si>
  <si>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</si>
  <si>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</si>
  <si>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</si>
  <si>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</si>
  <si>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</si>
  <si>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</si>
  <si>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</si>
  <si>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</si>
  <si>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</si>
  <si>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</si>
  <si>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</si>
  <si>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</si>
  <si>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</si>
  <si>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</si>
  <si>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</si>
  <si>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</si>
  <si>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</si>
  <si>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</si>
  <si>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</si>
  <si>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</si>
  <si>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</si>
  <si>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</si>
  <si>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</si>
  <si>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</si>
  <si>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</si>
  <si>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</si>
  <si>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</si>
  <si>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</si>
  <si>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</si>
  <si>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</si>
  <si>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</si>
  <si>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</si>
  <si>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</si>
  <si>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</si>
  <si>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</si>
  <si>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</si>
  <si>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</si>
  <si>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</si>
  <si>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</si>
  <si>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</si>
  <si>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</si>
  <si>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</si>
  <si>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</si>
  <si>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</si>
  <si>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</si>
  <si>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</si>
  <si>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</si>
  <si>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</si>
  <si>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</si>
  <si>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</si>
  <si>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</si>
  <si>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</si>
  <si>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</si>
  <si>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</si>
  <si>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</si>
  <si>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</si>
  <si>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</si>
  <si>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</si>
  <si>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</si>
  <si>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</si>
  <si>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</si>
  <si>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</si>
  <si>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</si>
  <si>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</si>
  <si>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</si>
  <si>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</si>
  <si>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</si>
  <si>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</si>
  <si>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</si>
  <si>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</si>
  <si>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</si>
  <si>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</si>
  <si>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</si>
  <si>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</si>
  <si>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</si>
  <si>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</si>
  <si>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</si>
  <si>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</si>
  <si>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</si>
  <si>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</si>
  <si>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</si>
  <si>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</si>
  <si>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</si>
  <si>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</si>
  <si>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</si>
  <si>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</si>
  <si>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</si>
  <si>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</si>
  <si>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</si>
  <si>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</si>
  <si>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</si>
  <si>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</si>
  <si>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</si>
  <si>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</si>
  <si>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</si>
  <si>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</si>
  <si>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</si>
  <si>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</si>
  <si>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</si>
  <si>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</si>
  <si>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</si>
  <si>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</si>
  <si>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</si>
  <si>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</si>
  <si>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</si>
  <si>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</si>
  <si>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</si>
  <si>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</si>
  <si>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</si>
  <si>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</si>
  <si>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</si>
  <si>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</si>
  <si>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</si>
  <si>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</si>
  <si>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</si>
  <si>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</si>
  <si>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</si>
  <si>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</si>
  <si>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</si>
  <si>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</si>
  <si>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</si>
  <si>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</si>
  <si>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</si>
  <si>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</si>
  <si>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</si>
  <si>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</si>
  <si>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</si>
  <si>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</si>
  <si>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</si>
  <si>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</si>
  <si>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</si>
  <si>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</si>
  <si>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</si>
  <si>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</si>
  <si>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</si>
  <si>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</si>
  <si>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</si>
  <si>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</si>
  <si>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</si>
  <si>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</si>
  <si>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</si>
  <si>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</si>
  <si>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</si>
  <si>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</si>
  <si>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</si>
  <si>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</si>
  <si>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</si>
  <si>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</si>
  <si>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</si>
  <si>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</si>
  <si>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</si>
  <si>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</si>
  <si>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</si>
  <si>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</si>
  <si>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</si>
  <si>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</si>
  <si>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</si>
  <si>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</si>
  <si>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</si>
  <si>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</si>
  <si>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</si>
  <si>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</si>
  <si>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</si>
  <si>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</si>
  <si>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</si>
  <si>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</si>
  <si>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</si>
  <si>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</si>
  <si>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</si>
  <si>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</si>
  <si>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</si>
  <si>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</si>
  <si>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</si>
  <si>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</si>
  <si>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</si>
  <si>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</si>
  <si>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</si>
  <si>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</si>
  <si>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</si>
  <si>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</si>
  <si>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</si>
  <si>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</si>
  <si>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</si>
  <si>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</si>
  <si>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</si>
  <si>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</si>
  <si>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</si>
  <si>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</si>
  <si>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</si>
  <si>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</si>
  <si>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</si>
  <si>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</si>
  <si>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</si>
  <si>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</si>
  <si>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</si>
  <si>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</si>
  <si>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</si>
  <si>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</si>
  <si>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</si>
  <si>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</si>
  <si>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</si>
  <si>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</si>
  <si>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</si>
  <si>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</si>
  <si>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</si>
  <si>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</si>
  <si>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</si>
  <si>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</si>
  <si>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</si>
  <si>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</si>
  <si>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</si>
  <si>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</si>
  <si>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</si>
  <si>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</si>
  <si>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</si>
  <si>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</si>
  <si>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</si>
  <si>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</si>
  <si>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</si>
  <si>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</si>
  <si>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</si>
  <si>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</si>
  <si>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</si>
  <si>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</si>
  <si>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</si>
  <si>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</si>
  <si>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</si>
  <si>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</si>
  <si>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</si>
  <si>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</si>
  <si>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</si>
  <si>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</si>
  <si>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</si>
  <si>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</si>
  <si>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</si>
  <si>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</si>
  <si>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</si>
  <si>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</si>
  <si>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</si>
  <si>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</si>
  <si>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</si>
  <si>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</si>
  <si>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</si>
  <si>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</si>
  <si>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</si>
  <si>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</si>
  <si>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</si>
  <si>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</si>
  <si>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</si>
  <si>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</si>
  <si>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</si>
  <si>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</si>
  <si>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</si>
  <si>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</si>
  <si>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</si>
  <si>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</si>
  <si>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</si>
  <si>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</si>
  <si>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</si>
  <si>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</si>
  <si>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</si>
  <si>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</si>
  <si>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</si>
  <si>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</si>
  <si>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</si>
  <si>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</si>
  <si>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</si>
  <si>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</si>
  <si>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</si>
  <si>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</si>
  <si>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</si>
  <si>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</si>
  <si>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</si>
  <si>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</si>
  <si>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</si>
  <si>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</si>
  <si>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</si>
  <si>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</si>
  <si>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</si>
  <si>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</si>
  <si>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</si>
  <si>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</si>
  <si>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</si>
  <si>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</si>
  <si>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</si>
  <si>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</si>
  <si>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</si>
  <si>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</si>
  <si>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</si>
  <si>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</si>
  <si>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</si>
  <si>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</si>
  <si>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</si>
  <si>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</si>
  <si>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</si>
  <si>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</si>
  <si>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</si>
  <si>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</si>
  <si>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</si>
  <si>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</si>
  <si>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</si>
  <si>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</si>
  <si>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</si>
  <si>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</si>
  <si>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</si>
  <si>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</si>
  <si>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</si>
  <si>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</si>
  <si>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</si>
  <si>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</si>
  <si>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</si>
  <si>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</si>
  <si>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</si>
  <si>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</si>
  <si>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</si>
  <si>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</si>
  <si>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</si>
  <si>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</si>
  <si>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</si>
  <si>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</si>
  <si>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</si>
  <si>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</si>
  <si>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</si>
  <si>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</si>
  <si>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</si>
  <si>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</si>
  <si>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</si>
  <si>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</si>
  <si>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</si>
  <si>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</si>
  <si>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</si>
  <si>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</si>
  <si>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</si>
  <si>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</si>
  <si>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</si>
  <si>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</si>
  <si>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</si>
  <si>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</si>
  <si>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</si>
  <si>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</si>
  <si>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</si>
  <si>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</si>
  <si>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</si>
  <si>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</si>
  <si>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</si>
  <si>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</si>
  <si>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</si>
  <si>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</si>
  <si>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</si>
  <si>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</si>
  <si>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</si>
  <si>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</si>
  <si>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</si>
  <si>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</si>
  <si>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</si>
  <si>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</si>
  <si>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</si>
  <si>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</si>
  <si>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</si>
  <si>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</si>
  <si>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</si>
  <si>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</si>
  <si>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</si>
  <si>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</si>
  <si>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</si>
  <si>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</si>
  <si>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</si>
  <si>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</si>
  <si>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</si>
  <si>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</si>
  <si>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</si>
  <si>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</si>
  <si>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</si>
  <si>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</si>
  <si>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</si>
  <si>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</si>
  <si>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</si>
  <si>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</si>
  <si>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</si>
  <si>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</si>
  <si>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</si>
  <si>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</si>
  <si>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</si>
  <si>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</si>
  <si>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</si>
  <si>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</si>
  <si>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</si>
  <si>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</si>
  <si>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</si>
  <si>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</si>
  <si>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</si>
  <si>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</si>
  <si>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</si>
  <si>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</si>
  <si>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</si>
  <si>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</si>
  <si>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</si>
  <si>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</si>
  <si>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</si>
  <si>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</si>
  <si>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</si>
  <si>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</si>
  <si>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</si>
  <si>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</si>
  <si>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</si>
  <si>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</si>
  <si>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</si>
  <si>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</si>
  <si>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</si>
  <si>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</si>
  <si>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</si>
  <si>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</si>
  <si>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</si>
  <si>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</si>
  <si>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</si>
  <si>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</si>
  <si>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</si>
  <si>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</si>
  <si>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</si>
  <si>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</si>
  <si>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</si>
  <si>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</si>
  <si>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</si>
  <si>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</si>
  <si>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</si>
  <si>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</si>
  <si>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</si>
  <si>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</si>
  <si>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</si>
  <si>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</si>
  <si>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</si>
  <si>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</si>
  <si>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</si>
  <si>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</si>
  <si>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</si>
  <si>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</si>
  <si>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</si>
  <si>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</si>
  <si>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</si>
  <si>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</si>
  <si>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</si>
  <si>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</si>
  <si>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</si>
  <si>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</si>
  <si>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</si>
  <si>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</si>
  <si>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</si>
  <si>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</si>
  <si>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</si>
  <si>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</si>
  <si>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</si>
  <si>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</si>
  <si>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</si>
  <si>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</si>
  <si>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</si>
  <si>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</si>
  <si>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</si>
  <si>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</si>
  <si>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</si>
  <si>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</si>
  <si>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</si>
  <si>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</si>
  <si>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</si>
  <si>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</si>
  <si>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</si>
  <si>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</si>
  <si>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</si>
  <si>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</si>
  <si>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</si>
  <si>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</si>
  <si>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</si>
  <si>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</si>
  <si>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</si>
  <si>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</si>
  <si>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</si>
  <si>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</si>
  <si>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</si>
  <si>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</si>
  <si>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</si>
  <si>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</si>
  <si>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</si>
  <si>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</si>
  <si>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</si>
  <si>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</si>
  <si>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</si>
  <si>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</si>
  <si>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</si>
  <si>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</si>
  <si>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</si>
  <si>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</si>
  <si>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</si>
  <si>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</si>
  <si>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</si>
  <si>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</si>
  <si>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</si>
  <si>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</si>
  <si>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</si>
  <si>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</si>
  <si>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</si>
  <si>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</si>
  <si>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</si>
  <si>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</si>
  <si>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</si>
  <si>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</si>
  <si>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</si>
  <si>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</si>
  <si>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</si>
  <si>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</si>
  <si>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</si>
  <si>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</si>
  <si>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</si>
  <si>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</si>
  <si>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</si>
  <si>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</si>
  <si>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</si>
  <si>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</si>
  <si>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</si>
  <si>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</si>
  <si>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</si>
  <si>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</si>
  <si>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</si>
  <si>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</si>
  <si>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</si>
  <si>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</si>
  <si>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</si>
  <si>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</si>
  <si>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</si>
  <si>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</si>
  <si>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</si>
  <si>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</si>
  <si>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</si>
  <si>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</si>
  <si>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</si>
  <si>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</si>
  <si>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</si>
  <si>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</si>
  <si>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</si>
  <si>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</si>
  <si>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</si>
  <si>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</si>
  <si>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</si>
  <si>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</si>
  <si>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</si>
  <si>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</si>
  <si>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</si>
  <si>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</si>
  <si>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</si>
  <si>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</si>
  <si>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</si>
  <si>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</si>
  <si>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</si>
  <si>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</si>
  <si>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</si>
  <si>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</si>
  <si>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</si>
  <si>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</si>
  <si>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</si>
  <si>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</si>
  <si>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</si>
  <si>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</si>
  <si>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</si>
  <si>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</si>
  <si>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</si>
  <si>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</si>
  <si>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</si>
  <si>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</si>
  <si>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</si>
  <si>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</si>
  <si>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</si>
  <si>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</si>
  <si>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</si>
  <si>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</si>
  <si>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</si>
  <si>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</si>
  <si>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</si>
  <si>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</si>
  <si>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</si>
  <si>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</si>
  <si>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</si>
  <si>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</si>
  <si>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</si>
  <si>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</si>
  <si>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</si>
  <si>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</si>
  <si>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</si>
  <si>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</si>
  <si>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</si>
  <si>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</si>
  <si>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</si>
  <si>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</si>
  <si>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</si>
  <si>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</si>
  <si>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</si>
  <si>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</si>
  <si>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</si>
  <si>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</si>
  <si>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</si>
  <si>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</si>
  <si>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</si>
  <si>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</si>
  <si>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</si>
  <si>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</si>
  <si>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</si>
  <si>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</si>
  <si>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</si>
  <si>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</si>
  <si>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</si>
  <si>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</si>
  <si>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</si>
  <si>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</si>
  <si>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</si>
  <si>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</si>
  <si>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</si>
  <si>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</si>
  <si>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</si>
  <si>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</si>
  <si>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</si>
  <si>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</si>
  <si>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</si>
  <si>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</si>
  <si>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</si>
  <si>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</si>
  <si>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</si>
  <si>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</si>
  <si>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</si>
  <si>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</si>
  <si>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</si>
  <si>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</si>
  <si>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</si>
  <si>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</si>
  <si>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</si>
  <si>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</si>
  <si>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</si>
  <si>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</si>
  <si>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</si>
  <si>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</si>
  <si>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</si>
  <si>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</si>
  <si>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</si>
  <si>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</si>
  <si>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</si>
  <si>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</si>
  <si>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</si>
  <si>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</si>
  <si>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</si>
  <si>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</si>
  <si>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</si>
  <si>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</si>
  <si>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</si>
  <si>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</si>
  <si>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</si>
  <si>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</si>
  <si>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</si>
  <si>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</si>
  <si>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</si>
  <si>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</si>
  <si>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</si>
  <si>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</si>
  <si>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</si>
  <si>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</si>
  <si>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</si>
  <si>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</si>
  <si>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</si>
  <si>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</si>
  <si>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</si>
  <si>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</si>
  <si>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</si>
  <si>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</si>
  <si>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</si>
  <si>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</si>
  <si>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</si>
  <si>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</si>
  <si>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</si>
  <si>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</si>
  <si>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</si>
  <si>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</si>
  <si>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</si>
  <si>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</si>
  <si>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</si>
  <si>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</si>
  <si>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</si>
  <si>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</si>
  <si>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</si>
  <si>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</si>
  <si>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</si>
  <si>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</si>
  <si>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</si>
  <si>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</si>
  <si>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</si>
  <si>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</si>
  <si>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</si>
  <si>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</si>
  <si>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</si>
  <si>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</si>
  <si>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</si>
  <si>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72041</t>
  </si>
  <si>
    <t>DILSEN-STOKKEM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</si>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</sst>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BD9C5AE-1E03-47BB-BB76-29A27926B985}"/>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72041</v>
      </c>
      <c r="B6" s="382"/>
      <c r="C6" s="383"/>
    </row>
    <row r="7" spans="1:7" s="380" customFormat="1" ht="15.75" customHeight="1">
      <c r="A7" s="384" t="str">
        <f>txtMunicipality</f>
        <v>DILSEN-STOKKEM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0.20371372546383076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0.20371372546383076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7778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2110</v>
      </c>
      <c r="C14" s="324"/>
      <c r="D14" s="324"/>
      <c r="E14" s="324"/>
      <c r="F14" s="324"/>
    </row>
    <row r="15" spans="1:6">
      <c r="A15" s="1235" t="s">
        <v>177</v>
      </c>
      <c r="B15" s="1236">
        <v>374</v>
      </c>
      <c r="C15" s="324"/>
      <c r="D15" s="324"/>
      <c r="E15" s="324"/>
      <c r="F15" s="324"/>
    </row>
    <row r="16" spans="1:6">
      <c r="A16" s="1235" t="s">
        <v>6</v>
      </c>
      <c r="B16" s="1236">
        <v>714</v>
      </c>
      <c r="C16" s="324"/>
      <c r="D16" s="324"/>
      <c r="E16" s="324"/>
      <c r="F16" s="324"/>
    </row>
    <row r="17" spans="1:6">
      <c r="A17" s="1235" t="s">
        <v>7</v>
      </c>
      <c r="B17" s="1236">
        <v>601</v>
      </c>
      <c r="C17" s="324"/>
      <c r="D17" s="324"/>
      <c r="E17" s="324"/>
      <c r="F17" s="324"/>
    </row>
    <row r="18" spans="1:6">
      <c r="A18" s="1235" t="s">
        <v>8</v>
      </c>
      <c r="B18" s="1236">
        <v>889</v>
      </c>
      <c r="C18" s="324"/>
      <c r="D18" s="324"/>
      <c r="E18" s="324"/>
      <c r="F18" s="324"/>
    </row>
    <row r="19" spans="1:6">
      <c r="A19" s="1235" t="s">
        <v>9</v>
      </c>
      <c r="B19" s="1236">
        <v>789</v>
      </c>
      <c r="C19" s="324"/>
      <c r="D19" s="324"/>
      <c r="E19" s="324"/>
      <c r="F19" s="324"/>
    </row>
    <row r="20" spans="1:6">
      <c r="A20" s="1235" t="s">
        <v>10</v>
      </c>
      <c r="B20" s="1236">
        <v>542</v>
      </c>
      <c r="C20" s="324"/>
      <c r="D20" s="324"/>
      <c r="E20" s="324"/>
      <c r="F20" s="324"/>
    </row>
    <row r="21" spans="1:6">
      <c r="A21" s="1235" t="s">
        <v>11</v>
      </c>
      <c r="B21" s="1236">
        <v>776</v>
      </c>
      <c r="C21" s="324"/>
      <c r="D21" s="324"/>
      <c r="E21" s="324"/>
      <c r="F21" s="324"/>
    </row>
    <row r="22" spans="1:6">
      <c r="A22" s="1235" t="s">
        <v>12</v>
      </c>
      <c r="B22" s="1236">
        <v>3125</v>
      </c>
      <c r="C22" s="324"/>
      <c r="D22" s="324"/>
      <c r="E22" s="324"/>
      <c r="F22" s="324"/>
    </row>
    <row r="23" spans="1:6">
      <c r="A23" s="1235" t="s">
        <v>13</v>
      </c>
      <c r="B23" s="1236">
        <v>110</v>
      </c>
      <c r="C23" s="324"/>
      <c r="D23" s="324"/>
      <c r="E23" s="324"/>
      <c r="F23" s="324"/>
    </row>
    <row r="24" spans="1:6">
      <c r="A24" s="1235" t="s">
        <v>14</v>
      </c>
      <c r="B24" s="1236">
        <v>3</v>
      </c>
      <c r="C24" s="324"/>
      <c r="D24" s="324"/>
      <c r="E24" s="324"/>
      <c r="F24" s="324"/>
    </row>
    <row r="25" spans="1:6">
      <c r="A25" s="1235" t="s">
        <v>15</v>
      </c>
      <c r="B25" s="1236">
        <v>230</v>
      </c>
      <c r="C25" s="324"/>
      <c r="D25" s="324"/>
      <c r="E25" s="324"/>
      <c r="F25" s="324"/>
    </row>
    <row r="26" spans="1:6">
      <c r="A26" s="1235" t="s">
        <v>16</v>
      </c>
      <c r="B26" s="1236">
        <v>456</v>
      </c>
      <c r="C26" s="324"/>
      <c r="D26" s="324"/>
      <c r="E26" s="324"/>
      <c r="F26" s="324"/>
    </row>
    <row r="27" spans="1:6">
      <c r="A27" s="1235" t="s">
        <v>17</v>
      </c>
      <c r="B27" s="1236">
        <v>533</v>
      </c>
      <c r="C27" s="324"/>
      <c r="D27" s="324"/>
      <c r="E27" s="324"/>
      <c r="F27" s="324"/>
    </row>
    <row r="28" spans="1:6">
      <c r="A28" s="1235" t="s">
        <v>18</v>
      </c>
      <c r="B28" s="1237">
        <v>138334</v>
      </c>
      <c r="C28" s="324"/>
      <c r="D28" s="324"/>
      <c r="E28" s="324"/>
      <c r="F28" s="324"/>
    </row>
    <row r="29" spans="1:6">
      <c r="A29" s="1235" t="s">
        <v>959</v>
      </c>
      <c r="B29" s="1237">
        <v>144</v>
      </c>
      <c r="C29" s="324"/>
      <c r="D29" s="324"/>
      <c r="E29" s="324"/>
      <c r="F29" s="324"/>
    </row>
    <row r="30" spans="1:6">
      <c r="A30" s="1230" t="s">
        <v>960</v>
      </c>
      <c r="B30" s="1238">
        <v>49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13</v>
      </c>
      <c r="F36" s="1236">
        <v>57361</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3178</v>
      </c>
      <c r="D39" s="1236">
        <v>55707191</v>
      </c>
      <c r="E39" s="1236">
        <v>7824</v>
      </c>
      <c r="F39" s="1236">
        <v>33093230</v>
      </c>
    </row>
    <row r="40" spans="1:6">
      <c r="A40" s="1235" t="s">
        <v>29</v>
      </c>
      <c r="B40" s="1235" t="s">
        <v>28</v>
      </c>
      <c r="C40" s="1236">
        <v>0</v>
      </c>
      <c r="D40" s="1236">
        <v>0</v>
      </c>
      <c r="E40" s="1236">
        <v>0</v>
      </c>
      <c r="F40" s="1236">
        <v>0</v>
      </c>
    </row>
    <row r="41" spans="1:6">
      <c r="A41" s="1235" t="s">
        <v>31</v>
      </c>
      <c r="B41" s="1235" t="s">
        <v>32</v>
      </c>
      <c r="C41" s="1236">
        <v>28</v>
      </c>
      <c r="D41" s="1236">
        <v>25090994</v>
      </c>
      <c r="E41" s="1236">
        <v>117</v>
      </c>
      <c r="F41" s="1236">
        <v>17014163</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8</v>
      </c>
      <c r="D44" s="1236">
        <v>42458884</v>
      </c>
      <c r="E44" s="1236">
        <v>24</v>
      </c>
      <c r="F44" s="1236">
        <v>23115246</v>
      </c>
    </row>
    <row r="45" spans="1:6">
      <c r="A45" s="1235" t="s">
        <v>31</v>
      </c>
      <c r="B45" s="1235" t="s">
        <v>36</v>
      </c>
      <c r="C45" s="1236">
        <v>4</v>
      </c>
      <c r="D45" s="1236">
        <v>1418943</v>
      </c>
      <c r="E45" s="1236">
        <v>16</v>
      </c>
      <c r="F45" s="1236">
        <v>7160200</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204391</v>
      </c>
    </row>
    <row r="48" spans="1:6">
      <c r="A48" s="1235" t="s">
        <v>31</v>
      </c>
      <c r="B48" s="1235" t="s">
        <v>28</v>
      </c>
      <c r="C48" s="1236">
        <v>2</v>
      </c>
      <c r="D48" s="1236">
        <v>78298</v>
      </c>
      <c r="E48" s="1236">
        <v>2</v>
      </c>
      <c r="F48" s="1236">
        <v>632654</v>
      </c>
    </row>
    <row r="49" spans="1:6">
      <c r="A49" s="1235" t="s">
        <v>31</v>
      </c>
      <c r="B49" s="1235" t="s">
        <v>39</v>
      </c>
      <c r="C49" s="1236">
        <v>0</v>
      </c>
      <c r="D49" s="1236">
        <v>0</v>
      </c>
      <c r="E49" s="1236">
        <v>0</v>
      </c>
      <c r="F49" s="1236">
        <v>0</v>
      </c>
    </row>
    <row r="50" spans="1:6">
      <c r="A50" s="1235" t="s">
        <v>31</v>
      </c>
      <c r="B50" s="1235" t="s">
        <v>40</v>
      </c>
      <c r="C50" s="1236">
        <v>3</v>
      </c>
      <c r="D50" s="1236">
        <v>12773285</v>
      </c>
      <c r="E50" s="1236">
        <v>10</v>
      </c>
      <c r="F50" s="1236">
        <v>6001028</v>
      </c>
    </row>
    <row r="51" spans="1:6">
      <c r="A51" s="1235" t="s">
        <v>41</v>
      </c>
      <c r="B51" s="1235" t="s">
        <v>42</v>
      </c>
      <c r="C51" s="1236">
        <v>5</v>
      </c>
      <c r="D51" s="1236">
        <v>132035</v>
      </c>
      <c r="E51" s="1236">
        <v>39</v>
      </c>
      <c r="F51" s="1236">
        <v>1119604</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76</v>
      </c>
      <c r="F54" s="1236">
        <v>1068812</v>
      </c>
    </row>
    <row r="55" spans="1:6">
      <c r="A55" s="1235" t="s">
        <v>45</v>
      </c>
      <c r="B55" s="1235" t="s">
        <v>28</v>
      </c>
      <c r="C55" s="1236">
        <v>0</v>
      </c>
      <c r="D55" s="1236">
        <v>0</v>
      </c>
      <c r="E55" s="1236">
        <v>0</v>
      </c>
      <c r="F55" s="1236">
        <v>0</v>
      </c>
    </row>
    <row r="56" spans="1:6">
      <c r="A56" s="1235" t="s">
        <v>47</v>
      </c>
      <c r="B56" s="1235" t="s">
        <v>28</v>
      </c>
      <c r="C56" s="1236">
        <v>36</v>
      </c>
      <c r="D56" s="1236">
        <v>1676195</v>
      </c>
      <c r="E56" s="1236">
        <v>174</v>
      </c>
      <c r="F56" s="1236">
        <v>2043089</v>
      </c>
    </row>
    <row r="57" spans="1:6">
      <c r="A57" s="1235" t="s">
        <v>48</v>
      </c>
      <c r="B57" s="1235" t="s">
        <v>49</v>
      </c>
      <c r="C57" s="1236">
        <v>25</v>
      </c>
      <c r="D57" s="1236">
        <v>856578</v>
      </c>
      <c r="E57" s="1236">
        <v>73</v>
      </c>
      <c r="F57" s="1236">
        <v>4665273</v>
      </c>
    </row>
    <row r="58" spans="1:6">
      <c r="A58" s="1235" t="s">
        <v>48</v>
      </c>
      <c r="B58" s="1235" t="s">
        <v>50</v>
      </c>
      <c r="C58" s="1236">
        <v>15</v>
      </c>
      <c r="D58" s="1236">
        <v>1666118</v>
      </c>
      <c r="E58" s="1236">
        <v>26</v>
      </c>
      <c r="F58" s="1236">
        <v>482738</v>
      </c>
    </row>
    <row r="59" spans="1:6">
      <c r="A59" s="1235" t="s">
        <v>48</v>
      </c>
      <c r="B59" s="1235" t="s">
        <v>51</v>
      </c>
      <c r="C59" s="1236">
        <v>61</v>
      </c>
      <c r="D59" s="1236">
        <v>3145430</v>
      </c>
      <c r="E59" s="1236">
        <v>148</v>
      </c>
      <c r="F59" s="1236">
        <v>5594055</v>
      </c>
    </row>
    <row r="60" spans="1:6">
      <c r="A60" s="1235" t="s">
        <v>48</v>
      </c>
      <c r="B60" s="1235" t="s">
        <v>52</v>
      </c>
      <c r="C60" s="1236">
        <v>26</v>
      </c>
      <c r="D60" s="1236">
        <v>1263307</v>
      </c>
      <c r="E60" s="1236">
        <v>55</v>
      </c>
      <c r="F60" s="1236">
        <v>1721925</v>
      </c>
    </row>
    <row r="61" spans="1:6">
      <c r="A61" s="1235" t="s">
        <v>48</v>
      </c>
      <c r="B61" s="1235" t="s">
        <v>53</v>
      </c>
      <c r="C61" s="1236">
        <v>92</v>
      </c>
      <c r="D61" s="1236">
        <v>10595564</v>
      </c>
      <c r="E61" s="1236">
        <v>254</v>
      </c>
      <c r="F61" s="1236">
        <v>4110653</v>
      </c>
    </row>
    <row r="62" spans="1:6">
      <c r="A62" s="1235" t="s">
        <v>48</v>
      </c>
      <c r="B62" s="1235" t="s">
        <v>54</v>
      </c>
      <c r="C62" s="1236">
        <v>3</v>
      </c>
      <c r="D62" s="1236">
        <v>518384</v>
      </c>
      <c r="E62" s="1236">
        <v>6</v>
      </c>
      <c r="F62" s="1236">
        <v>113143</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5</v>
      </c>
      <c r="F68" s="1238">
        <v>74728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111900726</v>
      </c>
      <c r="E73" s="443"/>
      <c r="F73" s="324"/>
    </row>
    <row r="74" spans="1:6">
      <c r="A74" s="1235" t="s">
        <v>63</v>
      </c>
      <c r="B74" s="1235" t="s">
        <v>730</v>
      </c>
      <c r="C74" s="1248" t="s">
        <v>731</v>
      </c>
      <c r="D74" s="1236">
        <v>10307171.57766401</v>
      </c>
      <c r="E74" s="443"/>
      <c r="F74" s="324"/>
    </row>
    <row r="75" spans="1:6">
      <c r="A75" s="1235" t="s">
        <v>64</v>
      </c>
      <c r="B75" s="1235" t="s">
        <v>728</v>
      </c>
      <c r="C75" s="1248" t="s">
        <v>732</v>
      </c>
      <c r="D75" s="1236">
        <v>17279162</v>
      </c>
      <c r="E75" s="443"/>
      <c r="F75" s="324"/>
    </row>
    <row r="76" spans="1:6">
      <c r="A76" s="1235" t="s">
        <v>64</v>
      </c>
      <c r="B76" s="1235" t="s">
        <v>730</v>
      </c>
      <c r="C76" s="1248" t="s">
        <v>733</v>
      </c>
      <c r="D76" s="1236">
        <v>453400.57766401034</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692650.84467197931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2721.8530627675214</v>
      </c>
      <c r="C91" s="324"/>
      <c r="D91" s="324"/>
      <c r="E91" s="324"/>
      <c r="F91" s="324"/>
    </row>
    <row r="92" spans="1:6">
      <c r="A92" s="1230" t="s">
        <v>68</v>
      </c>
      <c r="B92" s="1231">
        <v>5950.6258138279345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1144</v>
      </c>
      <c r="C97" s="324"/>
      <c r="D97" s="324"/>
      <c r="E97" s="324"/>
      <c r="F97" s="324"/>
    </row>
    <row r="98" spans="1:6">
      <c r="A98" s="1235" t="s">
        <v>71</v>
      </c>
      <c r="B98" s="1236">
        <v>4</v>
      </c>
      <c r="C98" s="324"/>
      <c r="D98" s="324"/>
      <c r="E98" s="324"/>
      <c r="F98" s="324"/>
    </row>
    <row r="99" spans="1:6">
      <c r="A99" s="1235" t="s">
        <v>72</v>
      </c>
      <c r="B99" s="1236">
        <v>64</v>
      </c>
      <c r="C99" s="324"/>
      <c r="D99" s="324"/>
      <c r="E99" s="324"/>
      <c r="F99" s="324"/>
    </row>
    <row r="100" spans="1:6">
      <c r="A100" s="1235" t="s">
        <v>73</v>
      </c>
      <c r="B100" s="1236">
        <v>163</v>
      </c>
      <c r="C100" s="324"/>
      <c r="D100" s="324"/>
      <c r="E100" s="324"/>
      <c r="F100" s="324"/>
    </row>
    <row r="101" spans="1:6">
      <c r="A101" s="1235" t="s">
        <v>74</v>
      </c>
      <c r="B101" s="1236">
        <v>49</v>
      </c>
      <c r="C101" s="324"/>
      <c r="D101" s="324"/>
      <c r="E101" s="324"/>
      <c r="F101" s="324"/>
    </row>
    <row r="102" spans="1:6">
      <c r="A102" s="1235" t="s">
        <v>75</v>
      </c>
      <c r="B102" s="1236">
        <v>96</v>
      </c>
      <c r="C102" s="324"/>
      <c r="D102" s="324"/>
      <c r="E102" s="324"/>
      <c r="F102" s="324"/>
    </row>
    <row r="103" spans="1:6">
      <c r="A103" s="1235" t="s">
        <v>76</v>
      </c>
      <c r="B103" s="1236">
        <v>174</v>
      </c>
      <c r="C103" s="324"/>
      <c r="D103" s="324"/>
      <c r="E103" s="324"/>
      <c r="F103" s="324"/>
    </row>
    <row r="104" spans="1:6">
      <c r="A104" s="1235" t="s">
        <v>77</v>
      </c>
      <c r="B104" s="1236">
        <v>5008</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5</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43</v>
      </c>
      <c r="C129" s="324"/>
      <c r="D129" s="324"/>
      <c r="E129" s="324"/>
      <c r="F129" s="324"/>
    </row>
    <row r="130" spans="1:6">
      <c r="A130" s="1235" t="s">
        <v>284</v>
      </c>
      <c r="B130" s="1236">
        <v>0</v>
      </c>
      <c r="C130" s="324"/>
      <c r="D130" s="324"/>
      <c r="E130" s="324"/>
      <c r="F130" s="324"/>
    </row>
    <row r="131" spans="1:6">
      <c r="A131" s="1235" t="s">
        <v>285</v>
      </c>
      <c r="B131" s="1236">
        <v>5</v>
      </c>
      <c r="C131" s="324"/>
      <c r="D131" s="324"/>
      <c r="E131" s="324"/>
      <c r="F131" s="324"/>
    </row>
    <row r="132" spans="1:6">
      <c r="A132" s="1230" t="s">
        <v>286</v>
      </c>
      <c r="B132" s="1231">
        <v>11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110875.12394398954</v>
      </c>
      <c r="C3" s="43" t="s">
        <v>163</v>
      </c>
      <c r="D3" s="43"/>
      <c r="E3" s="155"/>
      <c r="F3" s="43"/>
      <c r="G3" s="43"/>
      <c r="H3" s="43"/>
      <c r="I3" s="43"/>
      <c r="J3" s="43"/>
      <c r="K3" s="96"/>
    </row>
    <row r="4" spans="1:11">
      <c r="A4" s="350" t="s">
        <v>164</v>
      </c>
      <c r="B4" s="49">
        <f>IF(ISERROR('SEAP template'!B78+'SEAP template'!C78),0,'SEAP template'!B78+'SEAP template'!C78)</f>
        <v>8672.4788765954563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0.20371372546383076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1068.8119999999999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1068.8119999999999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0.20371372546383076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217.73167434044785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33093.230000000003</v>
      </c>
      <c r="C5" s="17">
        <f>IF(ISERROR('Eigen informatie GS &amp; warmtenet'!B57),0,'Eigen informatie GS &amp; warmtenet'!B57)</f>
        <v>0</v>
      </c>
      <c r="D5" s="30">
        <f>(SUM(HH_hh_gas_kWh,HH_rest_gas_kWh)/1000)*0.902</f>
        <v>50247.886281999999</v>
      </c>
      <c r="E5" s="17">
        <f>B32*B41</f>
        <v>2289.8008999968538</v>
      </c>
      <c r="F5" s="17">
        <f>B36*B45</f>
        <v>78160.969860716781</v>
      </c>
      <c r="G5" s="18"/>
      <c r="H5" s="17"/>
      <c r="I5" s="17"/>
      <c r="J5" s="17">
        <f>B35*B44+C35*C44</f>
        <v>1759.9868807582443</v>
      </c>
      <c r="K5" s="17"/>
      <c r="L5" s="17"/>
      <c r="M5" s="17"/>
      <c r="N5" s="17">
        <f>B34*B43+C34*C43</f>
        <v>9916.0600587820136</v>
      </c>
      <c r="O5" s="17">
        <f>B52*B53*B54</f>
        <v>75.040000000000006</v>
      </c>
      <c r="P5" s="17">
        <f>B60*B61*B62/1000-B60*B61*B62/1000/B63</f>
        <v>286</v>
      </c>
    </row>
    <row r="6" spans="1:16">
      <c r="A6" s="16" t="s">
        <v>591</v>
      </c>
      <c r="B6" s="727">
        <f>kWh_PV_kleiner_dan_10kW</f>
        <v>2721.8530627675214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35815.083062767524</v>
      </c>
      <c r="C8" s="21">
        <f>C5</f>
        <v>0</v>
      </c>
      <c r="D8" s="21">
        <f>D5</f>
        <v>50247.886281999999</v>
      </c>
      <c r="E8" s="21">
        <f>E5</f>
        <v>2289.8008999968538</v>
      </c>
      <c r="F8" s="21">
        <f>F5</f>
        <v>78160.969860716781</v>
      </c>
      <c r="G8" s="21"/>
      <c r="H8" s="21"/>
      <c r="I8" s="21"/>
      <c r="J8" s="21">
        <f>J5</f>
        <v>1759.9868807582443</v>
      </c>
      <c r="K8" s="21"/>
      <c r="L8" s="21">
        <f>L5</f>
        <v>0</v>
      </c>
      <c r="M8" s="21">
        <f>M5</f>
        <v>0</v>
      </c>
      <c r="N8" s="21">
        <f>N5</f>
        <v>9916.0600587820136</v>
      </c>
      <c r="O8" s="21">
        <f>O5</f>
        <v>75.040000000000006</v>
      </c>
      <c r="P8" s="21">
        <f>P5</f>
        <v>286</v>
      </c>
    </row>
    <row r="9" spans="1:16">
      <c r="B9" s="19"/>
      <c r="C9" s="19"/>
      <c r="D9" s="255"/>
      <c r="E9" s="19"/>
      <c r="F9" s="19"/>
      <c r="G9" s="19"/>
      <c r="H9" s="19"/>
      <c r="I9" s="19"/>
      <c r="J9" s="19"/>
      <c r="K9" s="19"/>
      <c r="L9" s="19"/>
      <c r="M9" s="19"/>
      <c r="N9" s="19"/>
      <c r="O9" s="19"/>
      <c r="P9" s="19"/>
    </row>
    <row r="10" spans="1:16">
      <c r="A10" s="24" t="s">
        <v>207</v>
      </c>
      <c r="B10" s="25">
        <f ca="1">'EF ele_warmte'!B12</f>
        <v>0.20371372546383076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7296.0239985129183</v>
      </c>
      <c r="C12" s="23">
        <f ca="1">C10*C8</f>
        <v>0</v>
      </c>
      <c r="D12" s="23">
        <f>D8*D10</f>
        <v>10150.073028964001</v>
      </c>
      <c r="E12" s="23">
        <f>E10*E8</f>
        <v>519.78480429928584</v>
      </c>
      <c r="F12" s="23">
        <f>F10*F8</f>
        <v>20868.978952811383</v>
      </c>
      <c r="G12" s="23"/>
      <c r="H12" s="23"/>
      <c r="I12" s="23"/>
      <c r="J12" s="23">
        <f>J10*J8</f>
        <v>623.03535578841843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7778</v>
      </c>
      <c r="C26" s="36"/>
      <c r="D26" s="225"/>
    </row>
    <row r="27" spans="1:5" s="15" customFormat="1">
      <c r="A27" s="227" t="s">
        <v>671</v>
      </c>
      <c r="B27" s="37">
        <f>SUM(HH_hh_gas_aantal,HH_rest_gas_aantal)</f>
        <v>3178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3019.1</v>
      </c>
      <c r="C31" s="34" t="s">
        <v>104</v>
      </c>
      <c r="D31" s="171"/>
    </row>
    <row r="32" spans="1:5">
      <c r="A32" s="168" t="s">
        <v>72</v>
      </c>
      <c r="B32" s="33">
        <f>IF((B21*($B$26-($B$27-0.05*$B$27)-$B$60))&lt;0,0,B21*($B$26-($B$27-0.05*$B$27)-$B$60))</f>
        <v>33.632204724986813</v>
      </c>
      <c r="C32" s="34" t="s">
        <v>104</v>
      </c>
      <c r="D32" s="171"/>
    </row>
    <row r="33" spans="1:6">
      <c r="A33" s="168" t="s">
        <v>73</v>
      </c>
      <c r="B33" s="33">
        <f>IF((B22*($B$26-($B$27-0.05*$B$27)-$B$60))&lt;0,0,B22*($B$26-($B$27-0.05*$B$27)-$B$60))</f>
        <v>963.89441160795559</v>
      </c>
      <c r="C33" s="34" t="s">
        <v>104</v>
      </c>
      <c r="D33" s="171"/>
    </row>
    <row r="34" spans="1:6">
      <c r="A34" s="168" t="s">
        <v>74</v>
      </c>
      <c r="B34" s="33">
        <f>IF((B24*($B$26-($B$27-0.05*$B$27)-$B$60))&lt;0,0,B24*($B$26-($B$27-0.05*$B$27)-$B$60))</f>
        <v>192.21073241835083</v>
      </c>
      <c r="C34" s="33">
        <f>B26*C24</f>
        <v>1590.4268873699341</v>
      </c>
      <c r="D34" s="230"/>
    </row>
    <row r="35" spans="1:6">
      <c r="A35" s="168" t="s">
        <v>76</v>
      </c>
      <c r="B35" s="33">
        <f>IF((B19*($B$26-($B$27-0.05*$B$27)-$B$60))&lt;0,0,B19*($B$26-($B$27-0.05*$B$27)-$B$60))</f>
        <v>100.0958473957941</v>
      </c>
      <c r="C35" s="33">
        <f>B35/2</f>
        <v>50.047923697897048</v>
      </c>
      <c r="D35" s="230"/>
    </row>
    <row r="36" spans="1:6">
      <c r="A36" s="168" t="s">
        <v>77</v>
      </c>
      <c r="B36" s="33">
        <f>IF((B18*($B$26-($B$27-0.05*$B$27)-$B$60))&lt;0,0,B18*($B$26-($B$27-0.05*$B$27)-$B$60))</f>
        <v>3454.066803852912</v>
      </c>
      <c r="C36" s="34" t="s">
        <v>104</v>
      </c>
      <c r="D36" s="171"/>
    </row>
    <row r="37" spans="1:6">
      <c r="A37" s="168" t="s">
        <v>78</v>
      </c>
      <c r="B37" s="33">
        <f>B60</f>
        <v>15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16687.787</v>
      </c>
      <c r="C5" s="17">
        <f>IF(ISERROR('Eigen informatie GS &amp; warmtenet'!B58),0,'Eigen informatie GS &amp; warmtenet'!B58)</f>
        <v>0</v>
      </c>
      <c r="D5" s="30">
        <f>SUM(D6:D12)</f>
        <v>16276.933662000001</v>
      </c>
      <c r="E5" s="17">
        <f>SUM(E6:E12)</f>
        <v>293.58050370382392</v>
      </c>
      <c r="F5" s="17">
        <f>SUM(F6:F12)</f>
        <v>3241.6949825476559</v>
      </c>
      <c r="G5" s="18"/>
      <c r="H5" s="17"/>
      <c r="I5" s="17"/>
      <c r="J5" s="17">
        <f>SUM(J6:J12)</f>
        <v>0</v>
      </c>
      <c r="K5" s="17"/>
      <c r="L5" s="17"/>
      <c r="M5" s="17"/>
      <c r="N5" s="17">
        <f>SUM(N6:N12)</f>
        <v>1041.8423054673931</v>
      </c>
      <c r="O5" s="17">
        <f>B38*B39*B40</f>
        <v>0</v>
      </c>
      <c r="P5" s="17">
        <f>B46*B47*B48/1000-B46*B47*B48/1000/B49</f>
        <v>95.333333333333343</v>
      </c>
      <c r="R5" s="32"/>
    </row>
    <row r="6" spans="1:18">
      <c r="A6" s="32" t="s">
        <v>53</v>
      </c>
      <c r="B6" s="37">
        <f>B26</f>
        <v>4110.6530000000002</v>
      </c>
      <c r="C6" s="33"/>
      <c r="D6" s="37">
        <f>IF(ISERROR(TER_kantoor_gas_kWh/1000),0,TER_kantoor_gas_kWh/1000)*0.902</f>
        <v>9557.1987280000012</v>
      </c>
      <c r="E6" s="33">
        <f>$C$26*'E Balans VL '!I12/100/3.6*1000000</f>
        <v>142.19575358219285</v>
      </c>
      <c r="F6" s="33">
        <f>$C$26*('E Balans VL '!L12+'E Balans VL '!N12)/100/3.6*1000000</f>
        <v>627.53482925276455</v>
      </c>
      <c r="G6" s="34"/>
      <c r="H6" s="33"/>
      <c r="I6" s="33"/>
      <c r="J6" s="33">
        <f>$C$26*('E Balans VL '!D12+'E Balans VL '!E12)/100/3.6*1000000</f>
        <v>0</v>
      </c>
      <c r="K6" s="33"/>
      <c r="L6" s="33"/>
      <c r="M6" s="33"/>
      <c r="N6" s="33">
        <f>$C$26*'E Balans VL '!Y12/100/3.6*1000000</f>
        <v>63.367670063554044</v>
      </c>
      <c r="O6" s="33"/>
      <c r="P6" s="33"/>
      <c r="R6" s="32"/>
    </row>
    <row r="7" spans="1:18">
      <c r="A7" s="32" t="s">
        <v>52</v>
      </c>
      <c r="B7" s="37">
        <f t="shared" ref="B7:B12" si="0">B27</f>
        <v>1721.925</v>
      </c>
      <c r="C7" s="33"/>
      <c r="D7" s="37">
        <f>IF(ISERROR(TER_horeca_gas_kWh/1000),0,TER_horeca_gas_kWh/1000)*0.902</f>
        <v>1139.5029140000001</v>
      </c>
      <c r="E7" s="33">
        <f>$C$27*'E Balans VL '!I9/100/3.6*1000000</f>
        <v>94.366961645824532</v>
      </c>
      <c r="F7" s="33">
        <f>$C$27*('E Balans VL '!L9+'E Balans VL '!N9)/100/3.6*1000000</f>
        <v>291.40730813196166</v>
      </c>
      <c r="G7" s="34"/>
      <c r="H7" s="33"/>
      <c r="I7" s="33"/>
      <c r="J7" s="33">
        <f>$C$27*('E Balans VL '!D9+'E Balans VL '!E9)/100/3.6*1000000</f>
        <v>0</v>
      </c>
      <c r="K7" s="33"/>
      <c r="L7" s="33"/>
      <c r="M7" s="33"/>
      <c r="N7" s="33">
        <f>$C$27*'E Balans VL '!Y9/100/3.6*1000000</f>
        <v>0</v>
      </c>
      <c r="O7" s="33"/>
      <c r="P7" s="33"/>
      <c r="R7" s="32"/>
    </row>
    <row r="8" spans="1:18">
      <c r="A8" s="6" t="s">
        <v>51</v>
      </c>
      <c r="B8" s="37">
        <f t="shared" si="0"/>
        <v>5594.0550000000003</v>
      </c>
      <c r="C8" s="33"/>
      <c r="D8" s="37">
        <f>IF(ISERROR(TER_handel_gas_kWh/1000),0,TER_handel_gas_kWh/1000)*0.902</f>
        <v>2837.1778599999998</v>
      </c>
      <c r="E8" s="33">
        <f>$C$28*'E Balans VL '!I13/100/3.6*1000000</f>
        <v>28.301279426782301</v>
      </c>
      <c r="F8" s="33">
        <f>$C$28*('E Balans VL '!L13+'E Balans VL '!N13)/100/3.6*1000000</f>
        <v>849.97290490716773</v>
      </c>
      <c r="G8" s="34"/>
      <c r="H8" s="33"/>
      <c r="I8" s="33"/>
      <c r="J8" s="33">
        <f>$C$28*('E Balans VL '!D13+'E Balans VL '!E13)/100/3.6*1000000</f>
        <v>0</v>
      </c>
      <c r="K8" s="33"/>
      <c r="L8" s="33"/>
      <c r="M8" s="33"/>
      <c r="N8" s="33">
        <f>$C$28*'E Balans VL '!Y13/100/3.6*1000000</f>
        <v>2.6159298668371149</v>
      </c>
      <c r="O8" s="33"/>
      <c r="P8" s="33"/>
      <c r="R8" s="32"/>
    </row>
    <row r="9" spans="1:18">
      <c r="A9" s="32" t="s">
        <v>50</v>
      </c>
      <c r="B9" s="37">
        <f t="shared" si="0"/>
        <v>482.738</v>
      </c>
      <c r="C9" s="33"/>
      <c r="D9" s="37">
        <f>IF(ISERROR(TER_gezond_gas_kWh/1000),0,TER_gezond_gas_kWh/1000)*0.902</f>
        <v>1502.838436</v>
      </c>
      <c r="E9" s="33">
        <f>$C$29*'E Balans VL '!I10/100/3.6*1000000</f>
        <v>0.17554557825657985</v>
      </c>
      <c r="F9" s="33">
        <f>$C$29*('E Balans VL '!L10+'E Balans VL '!N10)/100/3.6*1000000</f>
        <v>104.30663717831855</v>
      </c>
      <c r="G9" s="34"/>
      <c r="H9" s="33"/>
      <c r="I9" s="33"/>
      <c r="J9" s="33">
        <f>$C$29*('E Balans VL '!D10+'E Balans VL '!E10)/100/3.6*1000000</f>
        <v>0</v>
      </c>
      <c r="K9" s="33"/>
      <c r="L9" s="33"/>
      <c r="M9" s="33"/>
      <c r="N9" s="33">
        <f>$C$29*'E Balans VL '!Y10/100/3.6*1000000</f>
        <v>3.660251775116556</v>
      </c>
      <c r="O9" s="33"/>
      <c r="P9" s="33"/>
      <c r="R9" s="32"/>
    </row>
    <row r="10" spans="1:18">
      <c r="A10" s="32" t="s">
        <v>49</v>
      </c>
      <c r="B10" s="37">
        <f t="shared" si="0"/>
        <v>4665.2730000000001</v>
      </c>
      <c r="C10" s="33"/>
      <c r="D10" s="37">
        <f>IF(ISERROR(TER_ander_gas_kWh/1000),0,TER_ander_gas_kWh/1000)*0.902</f>
        <v>772.63335600000005</v>
      </c>
      <c r="E10" s="33">
        <f>$C$30*'E Balans VL '!I14/100/3.6*1000000</f>
        <v>28.400543211850145</v>
      </c>
      <c r="F10" s="33">
        <f>$C$30*('E Balans VL '!L14+'E Balans VL '!N14)/100/3.6*1000000</f>
        <v>1235.128353788409</v>
      </c>
      <c r="G10" s="34"/>
      <c r="H10" s="33"/>
      <c r="I10" s="33"/>
      <c r="J10" s="33">
        <f>$C$30*('E Balans VL '!D14+'E Balans VL '!E14)/100/3.6*1000000</f>
        <v>0</v>
      </c>
      <c r="K10" s="33"/>
      <c r="L10" s="33"/>
      <c r="M10" s="33"/>
      <c r="N10" s="33">
        <f>$C$30*'E Balans VL '!Y14/100/3.6*1000000</f>
        <v>971.65537792907298</v>
      </c>
      <c r="O10" s="33"/>
      <c r="P10" s="33"/>
      <c r="R10" s="32"/>
    </row>
    <row r="11" spans="1:18">
      <c r="A11" s="32" t="s">
        <v>54</v>
      </c>
      <c r="B11" s="37">
        <f t="shared" si="0"/>
        <v>113.143</v>
      </c>
      <c r="C11" s="33"/>
      <c r="D11" s="37">
        <f>IF(ISERROR(TER_onderwijs_gas_kWh/1000),0,TER_onderwijs_gas_kWh/1000)*0.902</f>
        <v>467.58236800000003</v>
      </c>
      <c r="E11" s="33">
        <f>$C$31*'E Balans VL '!I11/100/3.6*1000000</f>
        <v>0.14042025891753718</v>
      </c>
      <c r="F11" s="33">
        <f>$C$31*('E Balans VL '!L11+'E Balans VL '!N11)/100/3.6*1000000</f>
        <v>133.34494928903425</v>
      </c>
      <c r="G11" s="34"/>
      <c r="H11" s="33"/>
      <c r="I11" s="33"/>
      <c r="J11" s="33">
        <f>$C$31*('E Balans VL '!D11+'E Balans VL '!E11)/100/3.6*1000000</f>
        <v>0</v>
      </c>
      <c r="K11" s="33"/>
      <c r="L11" s="33"/>
      <c r="M11" s="33"/>
      <c r="N11" s="33">
        <f>$C$31*'E Balans VL '!Y11/100/3.6*1000000</f>
        <v>0.54307583281231198</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16687.787</v>
      </c>
      <c r="C16" s="21">
        <f ca="1">C5+C13+C14</f>
        <v>0</v>
      </c>
      <c r="D16" s="21">
        <f t="shared" ref="D16:N16" ca="1" si="1">MAX((D5+D13+D14),0)</f>
        <v>16276.933662000001</v>
      </c>
      <c r="E16" s="21">
        <f t="shared" si="1"/>
        <v>293.58050370382392</v>
      </c>
      <c r="F16" s="21">
        <f t="shared" ca="1" si="1"/>
        <v>3241.6949825476559</v>
      </c>
      <c r="G16" s="21">
        <f t="shared" si="1"/>
        <v>0</v>
      </c>
      <c r="H16" s="21">
        <f t="shared" si="1"/>
        <v>0</v>
      </c>
      <c r="I16" s="21">
        <f t="shared" si="1"/>
        <v>0</v>
      </c>
      <c r="J16" s="21">
        <f t="shared" si="1"/>
        <v>0</v>
      </c>
      <c r="K16" s="21">
        <f t="shared" si="1"/>
        <v>0</v>
      </c>
      <c r="L16" s="21">
        <f t="shared" ca="1" si="1"/>
        <v>0</v>
      </c>
      <c r="M16" s="21">
        <f t="shared" si="1"/>
        <v>0</v>
      </c>
      <c r="N16" s="21">
        <f t="shared" ca="1" si="1"/>
        <v>1041.8423054673931</v>
      </c>
      <c r="O16" s="21">
        <f>O5</f>
        <v>0</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0.20371372546383076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3399.5312595168839</v>
      </c>
      <c r="C20" s="23">
        <f t="shared" ref="C20:P20" ca="1" si="2">C16*C18</f>
        <v>0</v>
      </c>
      <c r="D20" s="23">
        <f t="shared" ca="1" si="2"/>
        <v>3287.9405997240005</v>
      </c>
      <c r="E20" s="23">
        <f t="shared" si="2"/>
        <v>66.642774340768028</v>
      </c>
      <c r="F20" s="23">
        <f t="shared" ca="1" si="2"/>
        <v>865.53256034022411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4110.6530000000002</v>
      </c>
      <c r="C26" s="39">
        <f>IF(ISERROR(B26*3.6/1000000/'E Balans VL '!Z12*100),0,B26*3.6/1000000/'E Balans VL '!Z12*100)</f>
        <v>8.5483929945954926E-2</v>
      </c>
      <c r="D26" s="233" t="s">
        <v>676</v>
      </c>
      <c r="F26" s="6"/>
    </row>
    <row r="27" spans="1:18">
      <c r="A27" s="228" t="s">
        <v>52</v>
      </c>
      <c r="B27" s="33">
        <f>IF(ISERROR(TER_horeca_ele_kWh/1000),0,TER_horeca_ele_kWh/1000)</f>
        <v>1721.925</v>
      </c>
      <c r="C27" s="39">
        <f>IF(ISERROR(B27*3.6/1000000/'E Balans VL '!Z9*100),0,B27*3.6/1000000/'E Balans VL '!Z9*100)</f>
        <v>0.14162955321390058</v>
      </c>
      <c r="D27" s="233" t="s">
        <v>676</v>
      </c>
      <c r="F27" s="6"/>
    </row>
    <row r="28" spans="1:18">
      <c r="A28" s="168" t="s">
        <v>51</v>
      </c>
      <c r="B28" s="33">
        <f>IF(ISERROR(TER_handel_ele_kWh/1000),0,TER_handel_ele_kWh/1000)</f>
        <v>5594.0550000000003</v>
      </c>
      <c r="C28" s="39">
        <f>IF(ISERROR(B28*3.6/1000000/'E Balans VL '!Z13*100),0,B28*3.6/1000000/'E Balans VL '!Z13*100)</f>
        <v>0.15484234879157077</v>
      </c>
      <c r="D28" s="233" t="s">
        <v>676</v>
      </c>
      <c r="F28" s="6"/>
    </row>
    <row r="29" spans="1:18">
      <c r="A29" s="228" t="s">
        <v>50</v>
      </c>
      <c r="B29" s="33">
        <f>IF(ISERROR(TER_gezond_ele_kWh/1000),0,TER_gezond_ele_kWh/1000)</f>
        <v>482.738</v>
      </c>
      <c r="C29" s="39">
        <f>IF(ISERROR(B29*3.6/1000000/'E Balans VL '!Z10*100),0,B29*3.6/1000000/'E Balans VL '!Z10*100)</f>
        <v>5.5052765007141083E-2</v>
      </c>
      <c r="D29" s="233" t="s">
        <v>676</v>
      </c>
      <c r="F29" s="6"/>
    </row>
    <row r="30" spans="1:18">
      <c r="A30" s="228" t="s">
        <v>49</v>
      </c>
      <c r="B30" s="33">
        <f>IF(ISERROR(TER_ander_ele_kWh/1000),0,TER_ander_ele_kWh/1000)</f>
        <v>4665.2730000000001</v>
      </c>
      <c r="C30" s="39">
        <f>IF(ISERROR(B30*3.6/1000000/'E Balans VL '!Z14*100),0,B30*3.6/1000000/'E Balans VL '!Z14*100)</f>
        <v>0.3611047848725476</v>
      </c>
      <c r="D30" s="233" t="s">
        <v>676</v>
      </c>
      <c r="F30" s="6"/>
    </row>
    <row r="31" spans="1:18">
      <c r="A31" s="228" t="s">
        <v>54</v>
      </c>
      <c r="B31" s="33">
        <f>IF(ISERROR(TER_onderwijs_ele_kWh/1000),0,TER_onderwijs_ele_kWh/1000)</f>
        <v>113.143</v>
      </c>
      <c r="C31" s="39">
        <f>IF(ISERROR(B31*3.6/1000000/'E Balans VL '!Z11*100),0,B31*3.6/1000000/'E Balans VL '!Z11*100)</f>
        <v>3.5253218618131257E-2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5</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54127.682000000001</v>
      </c>
      <c r="C5" s="17">
        <f>IF(ISERROR('Eigen informatie GS &amp; warmtenet'!B59),0,'Eigen informatie GS &amp; warmtenet'!B59)</f>
        <v>0</v>
      </c>
      <c r="D5" s="30">
        <f>SUM(D6:D15)</f>
        <v>73802.004408000008</v>
      </c>
      <c r="E5" s="17">
        <f>SUM(E6:E15)</f>
        <v>692.54469838125078</v>
      </c>
      <c r="F5" s="17">
        <f>SUM(F6:F15)</f>
        <v>17737.487645851896</v>
      </c>
      <c r="G5" s="18"/>
      <c r="H5" s="17"/>
      <c r="I5" s="17"/>
      <c r="J5" s="17">
        <f>SUM(J6:J15)</f>
        <v>548.10206202342874</v>
      </c>
      <c r="K5" s="17"/>
      <c r="L5" s="17"/>
      <c r="M5" s="17"/>
      <c r="N5" s="17">
        <f>SUM(N6:N15)</f>
        <v>1446.8355118445463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23115.245999999999</v>
      </c>
      <c r="C8" s="33"/>
      <c r="D8" s="37">
        <f>IF( ISERROR(IND_metaal_Gas_kWH/1000),0,IND_metaal_Gas_kWH/1000)*0.902</f>
        <v>38297.913368000001</v>
      </c>
      <c r="E8" s="33">
        <f>C30*'E Balans VL '!I18/100/3.6*1000000</f>
        <v>162.42573349431413</v>
      </c>
      <c r="F8" s="33">
        <f>C30*'E Balans VL '!L18/100/3.6*1000000+C30*'E Balans VL '!N18/100/3.6*1000000</f>
        <v>2537.9187732996706</v>
      </c>
      <c r="G8" s="34"/>
      <c r="H8" s="33"/>
      <c r="I8" s="33"/>
      <c r="J8" s="40">
        <f>C30*'E Balans VL '!D18/100/3.6*1000000+C30*'E Balans VL '!E18/100/3.6*1000000</f>
        <v>476.91734739104555</v>
      </c>
      <c r="K8" s="33"/>
      <c r="L8" s="33"/>
      <c r="M8" s="33"/>
      <c r="N8" s="33">
        <f>C30*'E Balans VL '!Y18/100/3.6*1000000</f>
        <v>86.637606766231272</v>
      </c>
      <c r="O8" s="33"/>
      <c r="P8" s="33"/>
      <c r="R8" s="32"/>
    </row>
    <row r="9" spans="1:18">
      <c r="A9" s="6" t="s">
        <v>32</v>
      </c>
      <c r="B9" s="37">
        <f t="shared" si="0"/>
        <v>17014.163</v>
      </c>
      <c r="C9" s="33"/>
      <c r="D9" s="37">
        <f>IF( ISERROR(IND_andere_gas_kWh/1000),0,IND_andere_gas_kWh/1000)*0.902</f>
        <v>22632.076588</v>
      </c>
      <c r="E9" s="33">
        <f>C31*'E Balans VL '!I19/100/3.6*1000000</f>
        <v>285.77371060015548</v>
      </c>
      <c r="F9" s="33">
        <f>C31*'E Balans VL '!L19/100/3.6*1000000+C31*'E Balans VL '!N19/100/3.6*1000000</f>
        <v>13300.703579032463</v>
      </c>
      <c r="G9" s="34"/>
      <c r="H9" s="33"/>
      <c r="I9" s="33"/>
      <c r="J9" s="40">
        <f>C31*'E Balans VL '!D19/100/3.6*1000000+C31*'E Balans VL '!E19/100/3.6*1000000</f>
        <v>1.5345273120342144</v>
      </c>
      <c r="K9" s="33"/>
      <c r="L9" s="33"/>
      <c r="M9" s="33"/>
      <c r="N9" s="33">
        <f>C31*'E Balans VL '!Y19/100/3.6*1000000</f>
        <v>1261.022446513959</v>
      </c>
      <c r="O9" s="33"/>
      <c r="P9" s="33"/>
      <c r="R9" s="32"/>
    </row>
    <row r="10" spans="1:18">
      <c r="A10" s="6" t="s">
        <v>40</v>
      </c>
      <c r="B10" s="37">
        <f t="shared" si="0"/>
        <v>6001.0280000000002</v>
      </c>
      <c r="C10" s="33"/>
      <c r="D10" s="37">
        <f>IF( ISERROR(IND_voed_gas_kWh/1000),0,IND_voed_gas_kWh/1000)*0.902</f>
        <v>11521.503070000001</v>
      </c>
      <c r="E10" s="33">
        <f>C32*'E Balans VL '!I20/100/3.6*1000000</f>
        <v>54.7508857449345</v>
      </c>
      <c r="F10" s="33">
        <f>C32*'E Balans VL '!L20/100/3.6*1000000+C32*'E Balans VL '!N20/100/3.6*1000000</f>
        <v>968.15351757118538</v>
      </c>
      <c r="G10" s="34"/>
      <c r="H10" s="33"/>
      <c r="I10" s="33"/>
      <c r="J10" s="40">
        <f>C32*'E Balans VL '!D20/100/3.6*1000000+C32*'E Balans VL '!E20/100/3.6*1000000</f>
        <v>24.716167768404873</v>
      </c>
      <c r="K10" s="33"/>
      <c r="L10" s="33"/>
      <c r="M10" s="33"/>
      <c r="N10" s="33">
        <f>C32*'E Balans VL '!Y20/100/3.6*1000000</f>
        <v>87.790307696614974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7160.2</v>
      </c>
      <c r="C12" s="33"/>
      <c r="D12" s="37">
        <f>IF( ISERROR(IND_min_gas_kWh/1000),0,IND_min_gas_kWh/1000)*0.902</f>
        <v>1279.8865860000001</v>
      </c>
      <c r="E12" s="33">
        <f>C34*'E Balans VL '!I22/100/3.6*1000000</f>
        <v>177.596238156152</v>
      </c>
      <c r="F12" s="33">
        <f>C34*'E Balans VL '!L22/100/3.6*1000000+C34*'E Balans VL '!N22/100/3.6*1000000</f>
        <v>760.83980888822316</v>
      </c>
      <c r="G12" s="34"/>
      <c r="H12" s="33"/>
      <c r="I12" s="33"/>
      <c r="J12" s="40">
        <f>C34*'E Balans VL '!D22/100/3.6*1000000+C34*'E Balans VL '!E22/100/3.6*1000000</f>
        <v>40.674137334719809</v>
      </c>
      <c r="K12" s="33"/>
      <c r="L12" s="33"/>
      <c r="M12" s="33"/>
      <c r="N12" s="33">
        <f>C34*'E Balans VL '!Y22/100/3.6*1000000</f>
        <v>0</v>
      </c>
      <c r="O12" s="33"/>
      <c r="P12" s="33"/>
      <c r="R12" s="32"/>
    </row>
    <row r="13" spans="1:18">
      <c r="A13" s="6" t="s">
        <v>38</v>
      </c>
      <c r="B13" s="37">
        <f t="shared" si="0"/>
        <v>204.39099999999999</v>
      </c>
      <c r="C13" s="33"/>
      <c r="D13" s="37">
        <f>IF( ISERROR(IND_papier_gas_kWh/1000),0,IND_papier_gas_kWh/1000)*0.902</f>
        <v>0</v>
      </c>
      <c r="E13" s="33">
        <f>C35*'E Balans VL '!I23/100/3.6*1000000</f>
        <v>6.2885776569970959</v>
      </c>
      <c r="F13" s="33">
        <f>C35*'E Balans VL '!L23/100/3.6*1000000+C35*'E Balans VL '!N23/100/3.6*1000000</f>
        <v>43.399352343421931</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632.654</v>
      </c>
      <c r="C15" s="33"/>
      <c r="D15" s="37">
        <f>IF( ISERROR(IND_rest_gas_kWh/1000),0,IND_rest_gas_kWh/1000)*0.902</f>
        <v>70.624796000000003</v>
      </c>
      <c r="E15" s="33">
        <f>C37*'E Balans VL '!I15/100/3.6*1000000</f>
        <v>5.7095527286975356</v>
      </c>
      <c r="F15" s="33">
        <f>C37*'E Balans VL '!L15/100/3.6*1000000+C37*'E Balans VL '!N15/100/3.6*1000000</f>
        <v>126.4726147169321</v>
      </c>
      <c r="G15" s="34"/>
      <c r="H15" s="33"/>
      <c r="I15" s="33"/>
      <c r="J15" s="40">
        <f>C37*'E Balans VL '!D15/100/3.6*1000000+C37*'E Balans VL '!E15/100/3.6*1000000</f>
        <v>4.259882217224181</v>
      </c>
      <c r="K15" s="33"/>
      <c r="L15" s="33"/>
      <c r="M15" s="33"/>
      <c r="N15" s="33">
        <f>C37*'E Balans VL '!Y15/100/3.6*1000000</f>
        <v>11.385150867740983</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54127.682000000001</v>
      </c>
      <c r="C18" s="21">
        <f>C5+C16</f>
        <v>0</v>
      </c>
      <c r="D18" s="21">
        <f>MAX((D5+D16),0)</f>
        <v>73802.004408000008</v>
      </c>
      <c r="E18" s="21">
        <f>MAX((E5+E16),0)</f>
        <v>692.54469838125078</v>
      </c>
      <c r="F18" s="21">
        <f>MAX((F5+F16),0)</f>
        <v>17737.487645851896</v>
      </c>
      <c r="G18" s="21"/>
      <c r="H18" s="21"/>
      <c r="I18" s="21"/>
      <c r="J18" s="21">
        <f>MAX((J5+J16),0)</f>
        <v>548.10206202342874</v>
      </c>
      <c r="K18" s="21"/>
      <c r="L18" s="21">
        <f>MAX((L5+L16),0)</f>
        <v>0</v>
      </c>
      <c r="M18" s="21"/>
      <c r="N18" s="21">
        <f>MAX((N5+N16),0)</f>
        <v>1446.8355118445463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0.20371372546383076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11026.551750941535</v>
      </c>
      <c r="C22" s="23">
        <f ca="1">C18*C20</f>
        <v>0</v>
      </c>
      <c r="D22" s="23">
        <f>D18*D20</f>
        <v>14908.004890416003</v>
      </c>
      <c r="E22" s="23">
        <f>E18*E20</f>
        <v>157.20764653254392</v>
      </c>
      <c r="F22" s="23">
        <f>F18*F20</f>
        <v>4735.9092014424568</v>
      </c>
      <c r="G22" s="23"/>
      <c r="H22" s="23"/>
      <c r="I22" s="23"/>
      <c r="J22" s="23">
        <f>J18*J20</f>
        <v>194.02812995629375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23115.245999999999</v>
      </c>
      <c r="C30" s="39">
        <f>IF(ISERROR(B30*3.6/1000000/'E Balans VL '!Z18*100),0,B30*3.6/1000000/'E Balans VL '!Z18*100)</f>
        <v>1.538796041572049</v>
      </c>
      <c r="D30" s="233" t="s">
        <v>676</v>
      </c>
    </row>
    <row r="31" spans="1:18">
      <c r="A31" s="6" t="s">
        <v>32</v>
      </c>
      <c r="B31" s="37">
        <f>IF( ISERROR(IND_ander_ele_kWh/1000),0,IND_ander_ele_kWh/1000)</f>
        <v>17014.163</v>
      </c>
      <c r="C31" s="39">
        <f>IF(ISERROR(B31*3.6/1000000/'E Balans VL '!Z19*100),0,B31*3.6/1000000/'E Balans VL '!Z19*100)</f>
        <v>0.75417041956630337</v>
      </c>
      <c r="D31" s="233" t="s">
        <v>676</v>
      </c>
    </row>
    <row r="32" spans="1:18">
      <c r="A32" s="168" t="s">
        <v>40</v>
      </c>
      <c r="B32" s="37">
        <f>IF( ISERROR(IND_voed_ele_kWh/1000),0,IND_voed_ele_kWh/1000)</f>
        <v>6001.0280000000002</v>
      </c>
      <c r="C32" s="39">
        <f>IF(ISERROR(B32*3.6/1000000/'E Balans VL '!Z20*100),0,B32*3.6/1000000/'E Balans VL '!Z20*100)</f>
        <v>0.20045154992131167</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7160.2</v>
      </c>
      <c r="C34" s="39">
        <f>IF(ISERROR(B34*3.6/1000000/'E Balans VL '!Z22*100),0,B34*3.6/1000000/'E Balans VL '!Z22*100)</f>
        <v>1.3925802496737549</v>
      </c>
      <c r="D34" s="233" t="s">
        <v>676</v>
      </c>
    </row>
    <row r="35" spans="1:5">
      <c r="A35" s="168" t="s">
        <v>38</v>
      </c>
      <c r="B35" s="37">
        <f>IF( ISERROR(IND_papier_ele_kWh/1000),0,IND_papier_ele_kWh/1000)</f>
        <v>204.39099999999999</v>
      </c>
      <c r="C35" s="39">
        <f>IF(ISERROR(B35*3.6/1000000/'E Balans VL '!Z22*100),0,B35*3.6/1000000/'E Balans VL '!Z22*100)</f>
        <v>3.9751804392484623E-2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632.654</v>
      </c>
      <c r="C37" s="39">
        <f>IF(ISERROR(B37*3.6/1000000/'E Balans VL '!Z15*100),0,B37*3.6/1000000/'E Balans VL '!Z15*100)</f>
        <v>4.7059150784702812E-3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1119.604</v>
      </c>
      <c r="C5" s="17">
        <f>'Eigen informatie GS &amp; warmtenet'!B60</f>
        <v>0</v>
      </c>
      <c r="D5" s="30">
        <f>IF(ISERROR(SUM(LB_lb_gas_kWh,LB_rest_gas_kWh)/1000),0,SUM(LB_lb_gas_kWh,LB_rest_gas_kWh)/1000)*0.902</f>
        <v>119.09557</v>
      </c>
      <c r="E5" s="17">
        <f>B17*'E Balans VL '!I25/3.6*1000000/100</f>
        <v>10.089052692262573</v>
      </c>
      <c r="F5" s="17">
        <f>B17*('E Balans VL '!L25/3.6*1000000+'E Balans VL '!N25/3.6*1000000)/100</f>
        <v>4195.1903347912712</v>
      </c>
      <c r="G5" s="18"/>
      <c r="H5" s="17"/>
      <c r="I5" s="17"/>
      <c r="J5" s="17">
        <f>('E Balans VL '!D25+'E Balans VL '!E25)/3.6*1000000*landbouw!B17/100</f>
        <v>113.29929424715615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1119.604</v>
      </c>
      <c r="C8" s="21">
        <f>C5+C6</f>
        <v>0</v>
      </c>
      <c r="D8" s="21">
        <f>MAX((D5+D6),0)</f>
        <v>119.09557</v>
      </c>
      <c r="E8" s="21">
        <f>MAX((E5+E6),0)</f>
        <v>10.089052692262573</v>
      </c>
      <c r="F8" s="21">
        <f>MAX((F5+F6),0)</f>
        <v>4195.1903347912712</v>
      </c>
      <c r="G8" s="21"/>
      <c r="H8" s="21"/>
      <c r="I8" s="21"/>
      <c r="J8" s="21">
        <f>MAX((J5+J6),0)</f>
        <v>113.29929424715615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0.20371372546383076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228.07870188420679</v>
      </c>
      <c r="C12" s="23">
        <f ca="1">C8*C10</f>
        <v>0</v>
      </c>
      <c r="D12" s="23">
        <f>D8*D10</f>
        <v>24.05730514</v>
      </c>
      <c r="E12" s="23">
        <f>E8*E10</f>
        <v>2.290214961143604</v>
      </c>
      <c r="F12" s="23">
        <f>F8*F10</f>
        <v>1120.1158193892695</v>
      </c>
      <c r="G12" s="23"/>
      <c r="H12" s="23"/>
      <c r="I12" s="23"/>
      <c r="J12" s="23">
        <f>J8*J10</f>
        <v>40.107950163493278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0.17232866795112869</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235.21189085658526</v>
      </c>
      <c r="C26" s="243">
        <f>B26*'GWP N2O_CH4'!B5</f>
        <v>4939.4497079882904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54.793162743087727</v>
      </c>
      <c r="C27" s="243">
        <f>B27*'GWP N2O_CH4'!B5</f>
        <v>1150.6564176048423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3.9189734934509932</v>
      </c>
      <c r="C28" s="243">
        <f>B28*'GWP N2O_CH4'!B4</f>
        <v>1214.881782969808</v>
      </c>
      <c r="D28" s="50"/>
    </row>
    <row r="29" spans="1:4">
      <c r="A29" s="41" t="s">
        <v>266</v>
      </c>
      <c r="B29" s="243">
        <f>B34*'ha_N2O bodem landbouw'!B4</f>
        <v>12.083774171464341</v>
      </c>
      <c r="C29" s="243">
        <f>B29*'GWP N2O_CH4'!B4</f>
        <v>3745.9699931539458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3.1373225405472919E-3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5.1328015745947436E-6</v>
      </c>
      <c r="C5" s="431" t="s">
        <v>204</v>
      </c>
      <c r="D5" s="416">
        <f>SUM(D6:D11)</f>
        <v>1.6937973766596543E-5</v>
      </c>
      <c r="E5" s="416">
        <f>SUM(E6:E11)</f>
        <v>1.7376788061162682E-3</v>
      </c>
      <c r="F5" s="429" t="s">
        <v>204</v>
      </c>
      <c r="G5" s="416">
        <f>SUM(G6:G11)</f>
        <v>0.33222321557605472</v>
      </c>
      <c r="H5" s="416">
        <f>SUM(H6:H11)</f>
        <v>5.8298818584944324E-2</v>
      </c>
      <c r="I5" s="431" t="s">
        <v>204</v>
      </c>
      <c r="J5" s="431" t="s">
        <v>204</v>
      </c>
      <c r="K5" s="431" t="s">
        <v>204</v>
      </c>
      <c r="L5" s="431" t="s">
        <v>204</v>
      </c>
      <c r="M5" s="416">
        <f>SUM(M6:M11)</f>
        <v>1.6995109508639059E-2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4.2523953682254906E-6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1.3422587600873164E-5</v>
      </c>
      <c r="E6" s="419">
        <f>vkm_GW_PW*SUMIFS(TableVerdeelsleutelVkm[LPG],TableVerdeelsleutelVkm[Voertuigtype],"Lichte voertuigen")*SUMIFS(TableECFTransport[EnergieConsumptieFactor (PJ per km)],TableECFTransport[Index],CONCATENATE($A6,"_LPG_LPG"))</f>
        <v>1.3940493106737988E-3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0.18608117684827261</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4.6735572749699056E-2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1.0167232221556763E-2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2.1434342286479001E-7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9.662076962334748E-2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2.8430036800115975E-6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4.1624733815582926E-3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6.566340638006041E-7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3.5153861657233788E-6</v>
      </c>
      <c r="E8" s="419">
        <f>vkm_NGW_PW*SUMIFS(TableVerdeelsleutelVkm[LPG],TableVerdeelsleutelVkm[Voertuigtype],"Lichte voertuigen")*SUMIFS(TableECFTransport[EnergieConsumptieFactor (PJ per km)],TableECFTransport[Index],CONCATENATE($A8,"_LPG_LPG"))</f>
        <v>3.4362949544246936E-4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4.3634024608767814E-2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1.1560251880413291E-2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2.4117793532343482E-3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9.42871970385909E-9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5.887244495666865E-3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1.5095115196367071E-7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2.5362455228965561E-4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1.4257782151652065</v>
      </c>
      <c r="C14" s="21"/>
      <c r="D14" s="21">
        <f t="shared" ref="D14:M14" si="0">((D5)*10^9/3600)+D12</f>
        <v>4.7049927129434845</v>
      </c>
      <c r="E14" s="21">
        <f t="shared" si="0"/>
        <v>482.68855725451897</v>
      </c>
      <c r="F14" s="21"/>
      <c r="G14" s="21">
        <f t="shared" si="0"/>
        <v>92284.226548904087</v>
      </c>
      <c r="H14" s="21">
        <f t="shared" si="0"/>
        <v>16194.116273595646</v>
      </c>
      <c r="I14" s="21"/>
      <c r="J14" s="21"/>
      <c r="K14" s="21"/>
      <c r="L14" s="21"/>
      <c r="M14" s="21">
        <f t="shared" si="0"/>
        <v>4720.8637523997386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0.20371372546383076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0.29045059189647549</v>
      </c>
      <c r="C18" s="23"/>
      <c r="D18" s="23">
        <f t="shared" ref="D18:M18" si="1">D14*D16</f>
        <v>0.95040852801458398</v>
      </c>
      <c r="E18" s="23">
        <f t="shared" si="1"/>
        <v>109.57030249677581</v>
      </c>
      <c r="F18" s="23"/>
      <c r="G18" s="23">
        <f t="shared" si="1"/>
        <v>24639.888488557393</v>
      </c>
      <c r="H18" s="23">
        <f t="shared" si="1"/>
        <v>4032.3349521253158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4.1907970824667697E-5</v>
      </c>
      <c r="C50" s="313">
        <f t="shared" ref="C50:P50" si="2">SUM(C51:C52)</f>
        <v>0</v>
      </c>
      <c r="D50" s="313">
        <f t="shared" si="2"/>
        <v>0</v>
      </c>
      <c r="E50" s="313">
        <f t="shared" si="2"/>
        <v>0</v>
      </c>
      <c r="F50" s="313">
        <f t="shared" si="2"/>
        <v>0</v>
      </c>
      <c r="G50" s="313">
        <f t="shared" si="2"/>
        <v>9.0915135203206605E-3</v>
      </c>
      <c r="H50" s="313">
        <f t="shared" si="2"/>
        <v>0</v>
      </c>
      <c r="I50" s="313">
        <f t="shared" si="2"/>
        <v>0</v>
      </c>
      <c r="J50" s="313">
        <f t="shared" si="2"/>
        <v>0</v>
      </c>
      <c r="K50" s="313">
        <f t="shared" si="2"/>
        <v>0</v>
      </c>
      <c r="L50" s="313">
        <f t="shared" si="2"/>
        <v>0</v>
      </c>
      <c r="M50" s="313">
        <f t="shared" si="2"/>
        <v>3.8926368617266013E-4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4.1907970824667697E-5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9.0915135203206605E-3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3.8926368617266013E-4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11.641103006852138</v>
      </c>
      <c r="C54" s="21">
        <f t="shared" ref="C54:P54" si="3">(C50)*10^9/3600</f>
        <v>0</v>
      </c>
      <c r="D54" s="21">
        <f t="shared" si="3"/>
        <v>0</v>
      </c>
      <c r="E54" s="21">
        <f t="shared" si="3"/>
        <v>0</v>
      </c>
      <c r="F54" s="21">
        <f t="shared" si="3"/>
        <v>0</v>
      </c>
      <c r="G54" s="21">
        <f t="shared" si="3"/>
        <v>2525.4204223112947</v>
      </c>
      <c r="H54" s="21">
        <f t="shared" si="3"/>
        <v>0</v>
      </c>
      <c r="I54" s="21">
        <f t="shared" si="3"/>
        <v>0</v>
      </c>
      <c r="J54" s="21">
        <f t="shared" si="3"/>
        <v>0</v>
      </c>
      <c r="K54" s="21">
        <f t="shared" si="3"/>
        <v>0</v>
      </c>
      <c r="L54" s="21">
        <f t="shared" si="3"/>
        <v>0</v>
      </c>
      <c r="M54" s="21">
        <f t="shared" si="3"/>
        <v>108.12880171462781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0.20371372546383076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2.3714524620340511</v>
      </c>
      <c r="C58" s="23">
        <f t="shared" ref="C58:P58" ca="1" si="4">C54*C56</f>
        <v>0</v>
      </c>
      <c r="D58" s="23">
        <f t="shared" si="4"/>
        <v>0</v>
      </c>
      <c r="E58" s="23">
        <f t="shared" si="4"/>
        <v>0</v>
      </c>
      <c r="F58" s="23">
        <f t="shared" si="4"/>
        <v>0</v>
      </c>
      <c r="G58" s="23">
        <f t="shared" si="4"/>
        <v>674.28725275711577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8672.4788765954563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8672.4788765954563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17756.599000000002</v>
      </c>
      <c r="D10" s="635">
        <f ca="1">tertiair!C16</f>
        <v>0</v>
      </c>
      <c r="E10" s="635">
        <f ca="1">tertiair!D16</f>
        <v>16276.933662000001</v>
      </c>
      <c r="F10" s="635">
        <f>tertiair!E16</f>
        <v>293.58050370382392</v>
      </c>
      <c r="G10" s="635">
        <f ca="1">tertiair!F16</f>
        <v>3241.6949825476559</v>
      </c>
      <c r="H10" s="635">
        <f>tertiair!G16</f>
        <v>0</v>
      </c>
      <c r="I10" s="635">
        <f>tertiair!H16</f>
        <v>0</v>
      </c>
      <c r="J10" s="635">
        <f>tertiair!I16</f>
        <v>0</v>
      </c>
      <c r="K10" s="635">
        <f>tertiair!J16</f>
        <v>0</v>
      </c>
      <c r="L10" s="635">
        <f>tertiair!K16</f>
        <v>0</v>
      </c>
      <c r="M10" s="635">
        <f ca="1">tertiair!L16</f>
        <v>0</v>
      </c>
      <c r="N10" s="635">
        <f>tertiair!M16</f>
        <v>0</v>
      </c>
      <c r="O10" s="635">
        <f ca="1">tertiair!N16</f>
        <v>1041.8423054673931</v>
      </c>
      <c r="P10" s="635">
        <f>tertiair!O16</f>
        <v>0</v>
      </c>
      <c r="Q10" s="636">
        <f>tertiair!P16</f>
        <v>95.333333333333343</v>
      </c>
      <c r="R10" s="638">
        <f ca="1">SUM(C10:Q10)</f>
        <v>38705.98378705221</v>
      </c>
      <c r="S10" s="67"/>
    </row>
    <row r="11" spans="1:19" s="441" customFormat="1">
      <c r="A11" s="749" t="s">
        <v>214</v>
      </c>
      <c r="B11" s="754"/>
      <c r="C11" s="635">
        <f>huishoudens!B8</f>
        <v>35815.083062767524</v>
      </c>
      <c r="D11" s="635">
        <f>huishoudens!C8</f>
        <v>0</v>
      </c>
      <c r="E11" s="635">
        <f>huishoudens!D8</f>
        <v>50247.886281999999</v>
      </c>
      <c r="F11" s="635">
        <f>huishoudens!E8</f>
        <v>2289.8008999968538</v>
      </c>
      <c r="G11" s="635">
        <f>huishoudens!F8</f>
        <v>78160.969860716781</v>
      </c>
      <c r="H11" s="635">
        <f>huishoudens!G8</f>
        <v>0</v>
      </c>
      <c r="I11" s="635">
        <f>huishoudens!H8</f>
        <v>0</v>
      </c>
      <c r="J11" s="635">
        <f>huishoudens!I8</f>
        <v>0</v>
      </c>
      <c r="K11" s="635">
        <f>huishoudens!J8</f>
        <v>1759.9868807582443</v>
      </c>
      <c r="L11" s="635">
        <f>huishoudens!K8</f>
        <v>0</v>
      </c>
      <c r="M11" s="635">
        <f>huishoudens!L8</f>
        <v>0</v>
      </c>
      <c r="N11" s="635">
        <f>huishoudens!M8</f>
        <v>0</v>
      </c>
      <c r="O11" s="635">
        <f>huishoudens!N8</f>
        <v>9916.0600587820136</v>
      </c>
      <c r="P11" s="635">
        <f>huishoudens!O8</f>
        <v>75.040000000000006</v>
      </c>
      <c r="Q11" s="636">
        <f>huishoudens!P8</f>
        <v>286</v>
      </c>
      <c r="R11" s="638">
        <f>SUM(C11:Q11)</f>
        <v>178550.82704502146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54127.682000000001</v>
      </c>
      <c r="D13" s="635">
        <f>industrie!C18</f>
        <v>0</v>
      </c>
      <c r="E13" s="635">
        <f>industrie!D18</f>
        <v>73802.004408000008</v>
      </c>
      <c r="F13" s="635">
        <f>industrie!E18</f>
        <v>692.54469838125078</v>
      </c>
      <c r="G13" s="635">
        <f>industrie!F18</f>
        <v>17737.487645851896</v>
      </c>
      <c r="H13" s="635">
        <f>industrie!G18</f>
        <v>0</v>
      </c>
      <c r="I13" s="635">
        <f>industrie!H18</f>
        <v>0</v>
      </c>
      <c r="J13" s="635">
        <f>industrie!I18</f>
        <v>0</v>
      </c>
      <c r="K13" s="635">
        <f>industrie!J18</f>
        <v>548.10206202342874</v>
      </c>
      <c r="L13" s="635">
        <f>industrie!K18</f>
        <v>0</v>
      </c>
      <c r="M13" s="635">
        <f>industrie!L18</f>
        <v>0</v>
      </c>
      <c r="N13" s="635">
        <f>industrie!M18</f>
        <v>0</v>
      </c>
      <c r="O13" s="635">
        <f>industrie!N18</f>
        <v>1446.8355118445463</v>
      </c>
      <c r="P13" s="635">
        <f>industrie!O18</f>
        <v>0</v>
      </c>
      <c r="Q13" s="636">
        <f>industrie!P18</f>
        <v>0</v>
      </c>
      <c r="R13" s="638">
        <f>SUM(C13:Q13)</f>
        <v>148354.6563261011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107699.36406276753</v>
      </c>
      <c r="D16" s="668">
        <f t="shared" ref="D16:R16" ca="1" si="0">SUM(D9:D15)</f>
        <v>0</v>
      </c>
      <c r="E16" s="668">
        <f t="shared" ca="1" si="0"/>
        <v>140326.82435200003</v>
      </c>
      <c r="F16" s="668">
        <f t="shared" si="0"/>
        <v>3275.9261020819285</v>
      </c>
      <c r="G16" s="668">
        <f t="shared" ca="1" si="0"/>
        <v>99140.152489116343</v>
      </c>
      <c r="H16" s="668">
        <f t="shared" si="0"/>
        <v>0</v>
      </c>
      <c r="I16" s="668">
        <f t="shared" si="0"/>
        <v>0</v>
      </c>
      <c r="J16" s="668">
        <f t="shared" si="0"/>
        <v>0</v>
      </c>
      <c r="K16" s="668">
        <f t="shared" si="0"/>
        <v>2308.0889427816728</v>
      </c>
      <c r="L16" s="668">
        <f t="shared" si="0"/>
        <v>0</v>
      </c>
      <c r="M16" s="668">
        <f t="shared" ca="1" si="0"/>
        <v>0</v>
      </c>
      <c r="N16" s="668">
        <f t="shared" si="0"/>
        <v>0</v>
      </c>
      <c r="O16" s="668">
        <f t="shared" ca="1" si="0"/>
        <v>12404.737876093954</v>
      </c>
      <c r="P16" s="668">
        <f t="shared" si="0"/>
        <v>75.040000000000006</v>
      </c>
      <c r="Q16" s="668">
        <f t="shared" si="0"/>
        <v>381.33333333333337</v>
      </c>
      <c r="R16" s="668">
        <f t="shared" ca="1" si="0"/>
        <v>365611.46715817478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11.641103006852138</v>
      </c>
      <c r="D19" s="635">
        <f>transport!C54</f>
        <v>0</v>
      </c>
      <c r="E19" s="635">
        <f>transport!D54</f>
        <v>0</v>
      </c>
      <c r="F19" s="635">
        <f>transport!E54</f>
        <v>0</v>
      </c>
      <c r="G19" s="635">
        <f>transport!F54</f>
        <v>0</v>
      </c>
      <c r="H19" s="635">
        <f>transport!G54</f>
        <v>2525.4204223112947</v>
      </c>
      <c r="I19" s="635">
        <f>transport!H54</f>
        <v>0</v>
      </c>
      <c r="J19" s="635">
        <f>transport!I54</f>
        <v>0</v>
      </c>
      <c r="K19" s="635">
        <f>transport!J54</f>
        <v>0</v>
      </c>
      <c r="L19" s="635">
        <f>transport!K54</f>
        <v>0</v>
      </c>
      <c r="M19" s="635">
        <f>transport!L54</f>
        <v>0</v>
      </c>
      <c r="N19" s="635">
        <f>transport!M54</f>
        <v>108.12880171462781</v>
      </c>
      <c r="O19" s="635">
        <f>transport!N54</f>
        <v>0</v>
      </c>
      <c r="P19" s="635">
        <f>transport!O54</f>
        <v>0</v>
      </c>
      <c r="Q19" s="636">
        <f>transport!P54</f>
        <v>0</v>
      </c>
      <c r="R19" s="638">
        <f>SUM(C19:Q19)</f>
        <v>2645.1903270327748</v>
      </c>
      <c r="S19" s="67"/>
    </row>
    <row r="20" spans="1:19" s="441" customFormat="1">
      <c r="A20" s="749" t="s">
        <v>296</v>
      </c>
      <c r="B20" s="754"/>
      <c r="C20" s="635">
        <f>transport!B14</f>
        <v>1.4257782151652065</v>
      </c>
      <c r="D20" s="635">
        <f>transport!C14</f>
        <v>0</v>
      </c>
      <c r="E20" s="635">
        <f>transport!D14</f>
        <v>4.7049927129434845</v>
      </c>
      <c r="F20" s="635">
        <f>transport!E14</f>
        <v>482.68855725451897</v>
      </c>
      <c r="G20" s="635">
        <f>transport!F14</f>
        <v>0</v>
      </c>
      <c r="H20" s="635">
        <f>transport!G14</f>
        <v>92284.226548904087</v>
      </c>
      <c r="I20" s="635">
        <f>transport!H14</f>
        <v>16194.116273595646</v>
      </c>
      <c r="J20" s="635">
        <f>transport!I14</f>
        <v>0</v>
      </c>
      <c r="K20" s="635">
        <f>transport!J14</f>
        <v>0</v>
      </c>
      <c r="L20" s="635">
        <f>transport!K14</f>
        <v>0</v>
      </c>
      <c r="M20" s="635">
        <f>transport!L14</f>
        <v>0</v>
      </c>
      <c r="N20" s="635">
        <f>transport!M14</f>
        <v>4720.8637523997386</v>
      </c>
      <c r="O20" s="635">
        <f>transport!N14</f>
        <v>0</v>
      </c>
      <c r="P20" s="635">
        <f>transport!O14</f>
        <v>0</v>
      </c>
      <c r="Q20" s="636">
        <f>transport!P14</f>
        <v>0</v>
      </c>
      <c r="R20" s="638">
        <f>SUM(C20:Q20)</f>
        <v>113688.0259030821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13.066881222017344</v>
      </c>
      <c r="D22" s="752">
        <f t="shared" ref="D22:R22" si="1">SUM(D18:D21)</f>
        <v>0</v>
      </c>
      <c r="E22" s="752">
        <f t="shared" si="1"/>
        <v>4.7049927129434845</v>
      </c>
      <c r="F22" s="752">
        <f t="shared" si="1"/>
        <v>482.68855725451897</v>
      </c>
      <c r="G22" s="752">
        <f t="shared" si="1"/>
        <v>0</v>
      </c>
      <c r="H22" s="752">
        <f t="shared" si="1"/>
        <v>94809.646971215378</v>
      </c>
      <c r="I22" s="752">
        <f t="shared" si="1"/>
        <v>16194.116273595646</v>
      </c>
      <c r="J22" s="752">
        <f t="shared" si="1"/>
        <v>0</v>
      </c>
      <c r="K22" s="752">
        <f t="shared" si="1"/>
        <v>0</v>
      </c>
      <c r="L22" s="752">
        <f t="shared" si="1"/>
        <v>0</v>
      </c>
      <c r="M22" s="752">
        <f t="shared" si="1"/>
        <v>0</v>
      </c>
      <c r="N22" s="752">
        <f t="shared" si="1"/>
        <v>4828.9925541143666</v>
      </c>
      <c r="O22" s="752">
        <f t="shared" si="1"/>
        <v>0</v>
      </c>
      <c r="P22" s="752">
        <f t="shared" si="1"/>
        <v>0</v>
      </c>
      <c r="Q22" s="752">
        <f t="shared" si="1"/>
        <v>0</v>
      </c>
      <c r="R22" s="752">
        <f t="shared" si="1"/>
        <v>116333.21623011488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1119.604</v>
      </c>
      <c r="D24" s="635">
        <f>+landbouw!C8</f>
        <v>0</v>
      </c>
      <c r="E24" s="635">
        <f>+landbouw!D8</f>
        <v>119.09557</v>
      </c>
      <c r="F24" s="635">
        <f>+landbouw!E8</f>
        <v>10.089052692262573</v>
      </c>
      <c r="G24" s="635">
        <f>+landbouw!F8</f>
        <v>4195.1903347912712</v>
      </c>
      <c r="H24" s="635">
        <f>+landbouw!G8</f>
        <v>0</v>
      </c>
      <c r="I24" s="635">
        <f>+landbouw!H8</f>
        <v>0</v>
      </c>
      <c r="J24" s="635">
        <f>+landbouw!I8</f>
        <v>0</v>
      </c>
      <c r="K24" s="635">
        <f>+landbouw!J8</f>
        <v>113.29929424715615</v>
      </c>
      <c r="L24" s="635">
        <f>+landbouw!K8</f>
        <v>0</v>
      </c>
      <c r="M24" s="635">
        <f>+landbouw!L8</f>
        <v>0</v>
      </c>
      <c r="N24" s="635">
        <f>+landbouw!M8</f>
        <v>0</v>
      </c>
      <c r="O24" s="635">
        <f>+landbouw!N8</f>
        <v>0</v>
      </c>
      <c r="P24" s="635">
        <f>+landbouw!O8</f>
        <v>0</v>
      </c>
      <c r="Q24" s="636">
        <f>+landbouw!P8</f>
        <v>0</v>
      </c>
      <c r="R24" s="638">
        <f>SUM(C24:Q24)</f>
        <v>5557.2782517306905</v>
      </c>
      <c r="S24" s="67"/>
    </row>
    <row r="25" spans="1:19" s="441" customFormat="1" ht="15" thickBot="1">
      <c r="A25" s="771" t="s">
        <v>864</v>
      </c>
      <c r="B25" s="923"/>
      <c r="C25" s="924">
        <f>IF(Onbekend_ele_kWh="---",0,Onbekend_ele_kWh)/1000+IF(REST_rest_ele_kWh="---",0,REST_rest_ele_kWh)/1000</f>
        <v>2043.0889999999999</v>
      </c>
      <c r="D25" s="924"/>
      <c r="E25" s="924">
        <f>IF(onbekend_gas_kWh="---",0,onbekend_gas_kWh)/1000+IF(REST_rest_gas_kWh="---",0,REST_rest_gas_kWh)/1000</f>
        <v>1676.1949999999999</v>
      </c>
      <c r="F25" s="924"/>
      <c r="G25" s="924"/>
      <c r="H25" s="924"/>
      <c r="I25" s="924"/>
      <c r="J25" s="924"/>
      <c r="K25" s="924"/>
      <c r="L25" s="924"/>
      <c r="M25" s="924"/>
      <c r="N25" s="924"/>
      <c r="O25" s="924"/>
      <c r="P25" s="924"/>
      <c r="Q25" s="925"/>
      <c r="R25" s="638">
        <f>SUM(C25:Q25)</f>
        <v>3719.2839999999997</v>
      </c>
      <c r="S25" s="67"/>
    </row>
    <row r="26" spans="1:19" s="441" customFormat="1" ht="15.75" thickBot="1">
      <c r="A26" s="641" t="s">
        <v>865</v>
      </c>
      <c r="B26" s="757"/>
      <c r="C26" s="752">
        <f>SUM(C24:C25)</f>
        <v>3162.6930000000002</v>
      </c>
      <c r="D26" s="752">
        <f t="shared" ref="D26:R26" si="2">SUM(D24:D25)</f>
        <v>0</v>
      </c>
      <c r="E26" s="752">
        <f t="shared" si="2"/>
        <v>1795.2905699999999</v>
      </c>
      <c r="F26" s="752">
        <f t="shared" si="2"/>
        <v>10.089052692262573</v>
      </c>
      <c r="G26" s="752">
        <f t="shared" si="2"/>
        <v>4195.1903347912712</v>
      </c>
      <c r="H26" s="752">
        <f t="shared" si="2"/>
        <v>0</v>
      </c>
      <c r="I26" s="752">
        <f t="shared" si="2"/>
        <v>0</v>
      </c>
      <c r="J26" s="752">
        <f t="shared" si="2"/>
        <v>0</v>
      </c>
      <c r="K26" s="752">
        <f t="shared" si="2"/>
        <v>113.29929424715615</v>
      </c>
      <c r="L26" s="752">
        <f t="shared" si="2"/>
        <v>0</v>
      </c>
      <c r="M26" s="752">
        <f t="shared" si="2"/>
        <v>0</v>
      </c>
      <c r="N26" s="752">
        <f t="shared" si="2"/>
        <v>0</v>
      </c>
      <c r="O26" s="752">
        <f t="shared" si="2"/>
        <v>0</v>
      </c>
      <c r="P26" s="752">
        <f t="shared" si="2"/>
        <v>0</v>
      </c>
      <c r="Q26" s="752">
        <f t="shared" si="2"/>
        <v>0</v>
      </c>
      <c r="R26" s="752">
        <f t="shared" si="2"/>
        <v>9276.5622517306911</v>
      </c>
      <c r="S26" s="67"/>
    </row>
    <row r="27" spans="1:19" s="441" customFormat="1" ht="17.25" thickTop="1" thickBot="1">
      <c r="A27" s="642" t="s">
        <v>109</v>
      </c>
      <c r="B27" s="744"/>
      <c r="C27" s="643">
        <f ca="1">C22+C16+C26</f>
        <v>110875.12394398954</v>
      </c>
      <c r="D27" s="643">
        <f t="shared" ref="D27:R27" ca="1" si="3">D22+D16+D26</f>
        <v>0</v>
      </c>
      <c r="E27" s="643">
        <f t="shared" ca="1" si="3"/>
        <v>142126.81991471298</v>
      </c>
      <c r="F27" s="643">
        <f t="shared" si="3"/>
        <v>3768.70371202871</v>
      </c>
      <c r="G27" s="643">
        <f t="shared" ca="1" si="3"/>
        <v>103335.34282390762</v>
      </c>
      <c r="H27" s="643">
        <f t="shared" si="3"/>
        <v>94809.646971215378</v>
      </c>
      <c r="I27" s="643">
        <f t="shared" si="3"/>
        <v>16194.116273595646</v>
      </c>
      <c r="J27" s="643">
        <f t="shared" si="3"/>
        <v>0</v>
      </c>
      <c r="K27" s="643">
        <f t="shared" si="3"/>
        <v>2421.3882370288288</v>
      </c>
      <c r="L27" s="643">
        <f t="shared" si="3"/>
        <v>0</v>
      </c>
      <c r="M27" s="643">
        <f t="shared" ca="1" si="3"/>
        <v>0</v>
      </c>
      <c r="N27" s="643">
        <f t="shared" si="3"/>
        <v>4828.9925541143666</v>
      </c>
      <c r="O27" s="643">
        <f t="shared" ca="1" si="3"/>
        <v>12404.737876093954</v>
      </c>
      <c r="P27" s="643">
        <f t="shared" si="3"/>
        <v>75.040000000000006</v>
      </c>
      <c r="Q27" s="643">
        <f t="shared" si="3"/>
        <v>381.33333333333337</v>
      </c>
      <c r="R27" s="643">
        <f t="shared" ca="1" si="3"/>
        <v>491221.24564002035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3617.2629338573315</v>
      </c>
      <c r="D40" s="635">
        <f ca="1">tertiair!C20</f>
        <v>0</v>
      </c>
      <c r="E40" s="635">
        <f ca="1">tertiair!D20</f>
        <v>3287.9405997240005</v>
      </c>
      <c r="F40" s="635">
        <f>tertiair!E20</f>
        <v>66.642774340768028</v>
      </c>
      <c r="G40" s="635">
        <f ca="1">tertiair!F20</f>
        <v>865.53256034022411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7837.3788682623244</v>
      </c>
    </row>
    <row r="41" spans="1:18">
      <c r="A41" s="762" t="s">
        <v>214</v>
      </c>
      <c r="B41" s="769"/>
      <c r="C41" s="635">
        <f ca="1">huishoudens!B12</f>
        <v>7296.0239985129183</v>
      </c>
      <c r="D41" s="635">
        <f ca="1">huishoudens!C12</f>
        <v>0</v>
      </c>
      <c r="E41" s="635">
        <f>huishoudens!D12</f>
        <v>10150.073028964001</v>
      </c>
      <c r="F41" s="635">
        <f>huishoudens!E12</f>
        <v>519.78480429928584</v>
      </c>
      <c r="G41" s="635">
        <f>huishoudens!F12</f>
        <v>20868.978952811383</v>
      </c>
      <c r="H41" s="635">
        <f>huishoudens!G12</f>
        <v>0</v>
      </c>
      <c r="I41" s="635">
        <f>huishoudens!H12</f>
        <v>0</v>
      </c>
      <c r="J41" s="635">
        <f>huishoudens!I12</f>
        <v>0</v>
      </c>
      <c r="K41" s="635">
        <f>huishoudens!J12</f>
        <v>623.03535578841843</v>
      </c>
      <c r="L41" s="635">
        <f>huishoudens!K12</f>
        <v>0</v>
      </c>
      <c r="M41" s="635">
        <f>huishoudens!L12</f>
        <v>0</v>
      </c>
      <c r="N41" s="635">
        <f>huishoudens!M12</f>
        <v>0</v>
      </c>
      <c r="O41" s="635">
        <f>huishoudens!N12</f>
        <v>0</v>
      </c>
      <c r="P41" s="635">
        <f>huishoudens!O12</f>
        <v>0</v>
      </c>
      <c r="Q41" s="710">
        <f>huishoudens!P12</f>
        <v>0</v>
      </c>
      <c r="R41" s="790">
        <f t="shared" ca="1" si="4"/>
        <v>39457.896140376004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11026.551750941535</v>
      </c>
      <c r="D43" s="635">
        <f ca="1">industrie!C22</f>
        <v>0</v>
      </c>
      <c r="E43" s="635">
        <f>industrie!D22</f>
        <v>14908.004890416003</v>
      </c>
      <c r="F43" s="635">
        <f>industrie!E22</f>
        <v>157.20764653254392</v>
      </c>
      <c r="G43" s="635">
        <f>industrie!F22</f>
        <v>4735.9092014424568</v>
      </c>
      <c r="H43" s="635">
        <f>industrie!G22</f>
        <v>0</v>
      </c>
      <c r="I43" s="635">
        <f>industrie!H22</f>
        <v>0</v>
      </c>
      <c r="J43" s="635">
        <f>industrie!I22</f>
        <v>0</v>
      </c>
      <c r="K43" s="635">
        <f>industrie!J22</f>
        <v>194.02812995629375</v>
      </c>
      <c r="L43" s="635">
        <f>industrie!K22</f>
        <v>0</v>
      </c>
      <c r="M43" s="635">
        <f>industrie!L22</f>
        <v>0</v>
      </c>
      <c r="N43" s="635">
        <f>industrie!M22</f>
        <v>0</v>
      </c>
      <c r="O43" s="635">
        <f>industrie!N22</f>
        <v>0</v>
      </c>
      <c r="P43" s="635">
        <f>industrie!O22</f>
        <v>0</v>
      </c>
      <c r="Q43" s="710">
        <f>industrie!P22</f>
        <v>0</v>
      </c>
      <c r="R43" s="789">
        <f t="shared" ca="1" si="4"/>
        <v>31021.70161928883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21939.838683311784</v>
      </c>
      <c r="D46" s="668">
        <f t="shared" ref="D46:Q46" ca="1" si="5">SUM(D39:D45)</f>
        <v>0</v>
      </c>
      <c r="E46" s="668">
        <f t="shared" ca="1" si="5"/>
        <v>28346.018519104007</v>
      </c>
      <c r="F46" s="668">
        <f t="shared" si="5"/>
        <v>743.63522517259776</v>
      </c>
      <c r="G46" s="668">
        <f t="shared" ca="1" si="5"/>
        <v>26470.420714594064</v>
      </c>
      <c r="H46" s="668">
        <f t="shared" si="5"/>
        <v>0</v>
      </c>
      <c r="I46" s="668">
        <f t="shared" si="5"/>
        <v>0</v>
      </c>
      <c r="J46" s="668">
        <f t="shared" si="5"/>
        <v>0</v>
      </c>
      <c r="K46" s="668">
        <f t="shared" si="5"/>
        <v>817.06348574471212</v>
      </c>
      <c r="L46" s="668">
        <f t="shared" si="5"/>
        <v>0</v>
      </c>
      <c r="M46" s="668">
        <f t="shared" ca="1" si="5"/>
        <v>0</v>
      </c>
      <c r="N46" s="668">
        <f t="shared" si="5"/>
        <v>0</v>
      </c>
      <c r="O46" s="668">
        <f t="shared" ca="1" si="5"/>
        <v>0</v>
      </c>
      <c r="P46" s="668">
        <f t="shared" si="5"/>
        <v>0</v>
      </c>
      <c r="Q46" s="668">
        <f t="shared" si="5"/>
        <v>0</v>
      </c>
      <c r="R46" s="668">
        <f ca="1">SUM(R39:R45)</f>
        <v>78316.976627927157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2.3714524620340511</v>
      </c>
      <c r="D49" s="635">
        <f ca="1">transport!C58</f>
        <v>0</v>
      </c>
      <c r="E49" s="635">
        <f>transport!D58</f>
        <v>0</v>
      </c>
      <c r="F49" s="635">
        <f>transport!E58</f>
        <v>0</v>
      </c>
      <c r="G49" s="635">
        <f>transport!F58</f>
        <v>0</v>
      </c>
      <c r="H49" s="635">
        <f>transport!G58</f>
        <v>674.28725275711577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676.65870521914985</v>
      </c>
    </row>
    <row r="50" spans="1:18">
      <c r="A50" s="765" t="s">
        <v>296</v>
      </c>
      <c r="B50" s="775"/>
      <c r="C50" s="930">
        <f ca="1">transport!B18</f>
        <v>0.29045059189647549</v>
      </c>
      <c r="D50" s="930">
        <f>transport!C18</f>
        <v>0</v>
      </c>
      <c r="E50" s="930">
        <f>transport!D18</f>
        <v>0.95040852801458398</v>
      </c>
      <c r="F50" s="930">
        <f>transport!E18</f>
        <v>109.57030249677581</v>
      </c>
      <c r="G50" s="930">
        <f>transport!F18</f>
        <v>0</v>
      </c>
      <c r="H50" s="930">
        <f>transport!G18</f>
        <v>24639.888488557393</v>
      </c>
      <c r="I50" s="930">
        <f>transport!H18</f>
        <v>4032.3349521253158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28783.034602299394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2.6619030539305264</v>
      </c>
      <c r="D52" s="668">
        <f t="shared" ref="D52:Q52" ca="1" si="6">SUM(D48:D51)</f>
        <v>0</v>
      </c>
      <c r="E52" s="668">
        <f t="shared" si="6"/>
        <v>0.95040852801458398</v>
      </c>
      <c r="F52" s="668">
        <f t="shared" si="6"/>
        <v>109.57030249677581</v>
      </c>
      <c r="G52" s="668">
        <f t="shared" si="6"/>
        <v>0</v>
      </c>
      <c r="H52" s="668">
        <f t="shared" si="6"/>
        <v>25314.17574131451</v>
      </c>
      <c r="I52" s="668">
        <f t="shared" si="6"/>
        <v>4032.3349521253158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29459.693307518544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228.07870188420679</v>
      </c>
      <c r="D54" s="930">
        <f ca="1">+landbouw!C12</f>
        <v>0</v>
      </c>
      <c r="E54" s="930">
        <f>+landbouw!D12</f>
        <v>24.05730514</v>
      </c>
      <c r="F54" s="930">
        <f>+landbouw!E12</f>
        <v>2.290214961143604</v>
      </c>
      <c r="G54" s="930">
        <f>+landbouw!F12</f>
        <v>1120.1158193892695</v>
      </c>
      <c r="H54" s="930">
        <f>+landbouw!G12</f>
        <v>0</v>
      </c>
      <c r="I54" s="930">
        <f>+landbouw!H12</f>
        <v>0</v>
      </c>
      <c r="J54" s="930">
        <f>+landbouw!I12</f>
        <v>0</v>
      </c>
      <c r="K54" s="930">
        <f>+landbouw!J12</f>
        <v>40.107950163493278</v>
      </c>
      <c r="L54" s="930">
        <f>+landbouw!K12</f>
        <v>0</v>
      </c>
      <c r="M54" s="930">
        <f>+landbouw!L12</f>
        <v>0</v>
      </c>
      <c r="N54" s="930">
        <f>+landbouw!M12</f>
        <v>0</v>
      </c>
      <c r="O54" s="930">
        <f>+landbouw!N12</f>
        <v>0</v>
      </c>
      <c r="P54" s="930">
        <f>+landbouw!O12</f>
        <v>0</v>
      </c>
      <c r="Q54" s="931">
        <f>+landbouw!P12</f>
        <v>0</v>
      </c>
      <c r="R54" s="667">
        <f ca="1">SUM(C54:Q54)</f>
        <v>1414.6499915381132</v>
      </c>
    </row>
    <row r="55" spans="1:18" ht="15" thickBot="1">
      <c r="A55" s="765" t="s">
        <v>864</v>
      </c>
      <c r="B55" s="775"/>
      <c r="C55" s="930">
        <f ca="1">C25*'EF ele_warmte'!B12</f>
        <v>416.20527164417251</v>
      </c>
      <c r="D55" s="930"/>
      <c r="E55" s="930">
        <f>E25*EF_CO2_aardgas</f>
        <v>338.59138999999999</v>
      </c>
      <c r="F55" s="930"/>
      <c r="G55" s="930"/>
      <c r="H55" s="930"/>
      <c r="I55" s="930"/>
      <c r="J55" s="930"/>
      <c r="K55" s="930"/>
      <c r="L55" s="930"/>
      <c r="M55" s="930"/>
      <c r="N55" s="930"/>
      <c r="O55" s="930"/>
      <c r="P55" s="930"/>
      <c r="Q55" s="931"/>
      <c r="R55" s="667">
        <f ca="1">SUM(C55:Q55)</f>
        <v>754.79666164417245</v>
      </c>
    </row>
    <row r="56" spans="1:18" ht="15.75" thickBot="1">
      <c r="A56" s="763" t="s">
        <v>865</v>
      </c>
      <c r="B56" s="776"/>
      <c r="C56" s="668">
        <f ca="1">SUM(C54:C55)</f>
        <v>644.28397352837931</v>
      </c>
      <c r="D56" s="668">
        <f t="shared" ref="D56:Q56" ca="1" si="7">SUM(D54:D55)</f>
        <v>0</v>
      </c>
      <c r="E56" s="668">
        <f t="shared" si="7"/>
        <v>362.64869513999997</v>
      </c>
      <c r="F56" s="668">
        <f t="shared" si="7"/>
        <v>2.290214961143604</v>
      </c>
      <c r="G56" s="668">
        <f t="shared" si="7"/>
        <v>1120.1158193892695</v>
      </c>
      <c r="H56" s="668">
        <f t="shared" si="7"/>
        <v>0</v>
      </c>
      <c r="I56" s="668">
        <f t="shared" si="7"/>
        <v>0</v>
      </c>
      <c r="J56" s="668">
        <f t="shared" si="7"/>
        <v>0</v>
      </c>
      <c r="K56" s="668">
        <f t="shared" si="7"/>
        <v>40.107950163493278</v>
      </c>
      <c r="L56" s="668">
        <f t="shared" si="7"/>
        <v>0</v>
      </c>
      <c r="M56" s="668">
        <f t="shared" si="7"/>
        <v>0</v>
      </c>
      <c r="N56" s="668">
        <f t="shared" si="7"/>
        <v>0</v>
      </c>
      <c r="O56" s="668">
        <f t="shared" si="7"/>
        <v>0</v>
      </c>
      <c r="P56" s="668">
        <f t="shared" si="7"/>
        <v>0</v>
      </c>
      <c r="Q56" s="669">
        <f t="shared" si="7"/>
        <v>0</v>
      </c>
      <c r="R56" s="670">
        <f ca="1">SUM(R54:R55)</f>
        <v>2169.4466531822854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22586.784559894091</v>
      </c>
      <c r="D61" s="676">
        <f t="shared" ref="D61:Q61" ca="1" si="8">D46+D52+D56</f>
        <v>0</v>
      </c>
      <c r="E61" s="676">
        <f t="shared" ca="1" si="8"/>
        <v>28709.617622772021</v>
      </c>
      <c r="F61" s="676">
        <f t="shared" si="8"/>
        <v>855.49574263051727</v>
      </c>
      <c r="G61" s="676">
        <f t="shared" ca="1" si="8"/>
        <v>27590.536533983333</v>
      </c>
      <c r="H61" s="676">
        <f t="shared" si="8"/>
        <v>25314.17574131451</v>
      </c>
      <c r="I61" s="676">
        <f t="shared" si="8"/>
        <v>4032.3349521253158</v>
      </c>
      <c r="J61" s="676">
        <f t="shared" si="8"/>
        <v>0</v>
      </c>
      <c r="K61" s="676">
        <f t="shared" si="8"/>
        <v>857.17143590820535</v>
      </c>
      <c r="L61" s="676">
        <f t="shared" si="8"/>
        <v>0</v>
      </c>
      <c r="M61" s="676">
        <f t="shared" ca="1" si="8"/>
        <v>0</v>
      </c>
      <c r="N61" s="676">
        <f t="shared" si="8"/>
        <v>0</v>
      </c>
      <c r="O61" s="676">
        <f t="shared" ca="1" si="8"/>
        <v>0</v>
      </c>
      <c r="P61" s="676">
        <f t="shared" si="8"/>
        <v>0</v>
      </c>
      <c r="Q61" s="676">
        <f t="shared" si="8"/>
        <v>0</v>
      </c>
      <c r="R61" s="676">
        <f ca="1">R46+R52+R56</f>
        <v>109946.11658862799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0.20371372546383074</v>
      </c>
      <c r="D63" s="720">
        <f t="shared" ca="1" si="9"/>
        <v>0</v>
      </c>
      <c r="E63" s="932">
        <f t="shared" ca="1" si="9"/>
        <v>0.20199999999999999</v>
      </c>
      <c r="F63" s="720">
        <f t="shared" si="9"/>
        <v>0.22700000000000004</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8672.4788765954563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8672.4788765954563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35815.083062767524</v>
      </c>
      <c r="C4" s="445">
        <f>huishoudens!C8</f>
        <v>0</v>
      </c>
      <c r="D4" s="445">
        <f>huishoudens!D8</f>
        <v>50247.886281999999</v>
      </c>
      <c r="E4" s="445">
        <f>huishoudens!E8</f>
        <v>2289.8008999968538</v>
      </c>
      <c r="F4" s="445">
        <f>huishoudens!F8</f>
        <v>78160.969860716781</v>
      </c>
      <c r="G4" s="445">
        <f>huishoudens!G8</f>
        <v>0</v>
      </c>
      <c r="H4" s="445">
        <f>huishoudens!H8</f>
        <v>0</v>
      </c>
      <c r="I4" s="445">
        <f>huishoudens!I8</f>
        <v>0</v>
      </c>
      <c r="J4" s="445">
        <f>huishoudens!J8</f>
        <v>1759.9868807582443</v>
      </c>
      <c r="K4" s="445">
        <f>huishoudens!K8</f>
        <v>0</v>
      </c>
      <c r="L4" s="445">
        <f>huishoudens!L8</f>
        <v>0</v>
      </c>
      <c r="M4" s="445">
        <f>huishoudens!M8</f>
        <v>0</v>
      </c>
      <c r="N4" s="445">
        <f>huishoudens!N8</f>
        <v>9916.0600587820136</v>
      </c>
      <c r="O4" s="445">
        <f>huishoudens!O8</f>
        <v>75.040000000000006</v>
      </c>
      <c r="P4" s="446">
        <f>huishoudens!P8</f>
        <v>286</v>
      </c>
      <c r="Q4" s="447">
        <f>SUM(B4:P4)</f>
        <v>178550.82704502146</v>
      </c>
    </row>
    <row r="5" spans="1:17">
      <c r="A5" s="444" t="s">
        <v>149</v>
      </c>
      <c r="B5" s="445">
        <f ca="1">tertiair!B16</f>
        <v>16687.787</v>
      </c>
      <c r="C5" s="445">
        <f ca="1">tertiair!C16</f>
        <v>0</v>
      </c>
      <c r="D5" s="445">
        <f ca="1">tertiair!D16</f>
        <v>16276.933662000001</v>
      </c>
      <c r="E5" s="445">
        <f>tertiair!E16</f>
        <v>293.58050370382392</v>
      </c>
      <c r="F5" s="445">
        <f ca="1">tertiair!F16</f>
        <v>3241.6949825476559</v>
      </c>
      <c r="G5" s="445">
        <f>tertiair!G16</f>
        <v>0</v>
      </c>
      <c r="H5" s="445">
        <f>tertiair!H16</f>
        <v>0</v>
      </c>
      <c r="I5" s="445">
        <f>tertiair!I16</f>
        <v>0</v>
      </c>
      <c r="J5" s="445">
        <f>tertiair!J16</f>
        <v>0</v>
      </c>
      <c r="K5" s="445">
        <f>tertiair!K16</f>
        <v>0</v>
      </c>
      <c r="L5" s="445">
        <f ca="1">tertiair!L16</f>
        <v>0</v>
      </c>
      <c r="M5" s="445">
        <f>tertiair!M16</f>
        <v>0</v>
      </c>
      <c r="N5" s="445">
        <f ca="1">tertiair!N16</f>
        <v>1041.8423054673931</v>
      </c>
      <c r="O5" s="445">
        <f>tertiair!O16</f>
        <v>0</v>
      </c>
      <c r="P5" s="446">
        <f>tertiair!P16</f>
        <v>95.333333333333343</v>
      </c>
      <c r="Q5" s="444">
        <f t="shared" ref="Q5:Q14" ca="1" si="0">SUM(B5:P5)</f>
        <v>37637.171787052204</v>
      </c>
    </row>
    <row r="6" spans="1:17">
      <c r="A6" s="444" t="s">
        <v>187</v>
      </c>
      <c r="B6" s="445">
        <f>'openbare verlichting'!B8</f>
        <v>1068.8119999999999</v>
      </c>
      <c r="C6" s="445"/>
      <c r="D6" s="445"/>
      <c r="E6" s="445"/>
      <c r="F6" s="445"/>
      <c r="G6" s="445"/>
      <c r="H6" s="445"/>
      <c r="I6" s="445"/>
      <c r="J6" s="445"/>
      <c r="K6" s="445"/>
      <c r="L6" s="445"/>
      <c r="M6" s="445"/>
      <c r="N6" s="445"/>
      <c r="O6" s="445"/>
      <c r="P6" s="446"/>
      <c r="Q6" s="444">
        <f t="shared" si="0"/>
        <v>1068.8119999999999</v>
      </c>
    </row>
    <row r="7" spans="1:17">
      <c r="A7" s="444" t="s">
        <v>105</v>
      </c>
      <c r="B7" s="445">
        <f>landbouw!B8</f>
        <v>1119.604</v>
      </c>
      <c r="C7" s="445">
        <f>landbouw!C8</f>
        <v>0</v>
      </c>
      <c r="D7" s="445">
        <f>landbouw!D8</f>
        <v>119.09557</v>
      </c>
      <c r="E7" s="445">
        <f>landbouw!E8</f>
        <v>10.089052692262573</v>
      </c>
      <c r="F7" s="445">
        <f>landbouw!F8</f>
        <v>4195.1903347912712</v>
      </c>
      <c r="G7" s="445">
        <f>landbouw!G8</f>
        <v>0</v>
      </c>
      <c r="H7" s="445">
        <f>landbouw!H8</f>
        <v>0</v>
      </c>
      <c r="I7" s="445">
        <f>landbouw!I8</f>
        <v>0</v>
      </c>
      <c r="J7" s="445">
        <f>landbouw!J8</f>
        <v>113.29929424715615</v>
      </c>
      <c r="K7" s="445">
        <f>landbouw!K8</f>
        <v>0</v>
      </c>
      <c r="L7" s="445">
        <f>landbouw!L8</f>
        <v>0</v>
      </c>
      <c r="M7" s="445">
        <f>landbouw!M8</f>
        <v>0</v>
      </c>
      <c r="N7" s="445">
        <f>landbouw!N8</f>
        <v>0</v>
      </c>
      <c r="O7" s="445">
        <f>landbouw!O8</f>
        <v>0</v>
      </c>
      <c r="P7" s="446">
        <f>landbouw!P8</f>
        <v>0</v>
      </c>
      <c r="Q7" s="444">
        <f t="shared" si="0"/>
        <v>5557.2782517306905</v>
      </c>
    </row>
    <row r="8" spans="1:17">
      <c r="A8" s="444" t="s">
        <v>613</v>
      </c>
      <c r="B8" s="445">
        <f>industrie!B18</f>
        <v>54127.682000000001</v>
      </c>
      <c r="C8" s="445">
        <f>industrie!C18</f>
        <v>0</v>
      </c>
      <c r="D8" s="445">
        <f>industrie!D18</f>
        <v>73802.004408000008</v>
      </c>
      <c r="E8" s="445">
        <f>industrie!E18</f>
        <v>692.54469838125078</v>
      </c>
      <c r="F8" s="445">
        <f>industrie!F18</f>
        <v>17737.487645851896</v>
      </c>
      <c r="G8" s="445">
        <f>industrie!G18</f>
        <v>0</v>
      </c>
      <c r="H8" s="445">
        <f>industrie!H18</f>
        <v>0</v>
      </c>
      <c r="I8" s="445">
        <f>industrie!I18</f>
        <v>0</v>
      </c>
      <c r="J8" s="445">
        <f>industrie!J18</f>
        <v>548.10206202342874</v>
      </c>
      <c r="K8" s="445">
        <f>industrie!K18</f>
        <v>0</v>
      </c>
      <c r="L8" s="445">
        <f>industrie!L18</f>
        <v>0</v>
      </c>
      <c r="M8" s="445">
        <f>industrie!M18</f>
        <v>0</v>
      </c>
      <c r="N8" s="445">
        <f>industrie!N18</f>
        <v>1446.8355118445463</v>
      </c>
      <c r="O8" s="445">
        <f>industrie!O18</f>
        <v>0</v>
      </c>
      <c r="P8" s="446">
        <f>industrie!P18</f>
        <v>0</v>
      </c>
      <c r="Q8" s="444">
        <f t="shared" si="0"/>
        <v>148354.6563261011</v>
      </c>
    </row>
    <row r="9" spans="1:17" s="450" customFormat="1">
      <c r="A9" s="448" t="s">
        <v>555</v>
      </c>
      <c r="B9" s="449">
        <f>transport!B14</f>
        <v>1.4257782151652065</v>
      </c>
      <c r="C9" s="449">
        <f>transport!C14</f>
        <v>0</v>
      </c>
      <c r="D9" s="449">
        <f>transport!D14</f>
        <v>4.7049927129434845</v>
      </c>
      <c r="E9" s="449">
        <f>transport!E14</f>
        <v>482.68855725451897</v>
      </c>
      <c r="F9" s="449">
        <f>transport!F14</f>
        <v>0</v>
      </c>
      <c r="G9" s="449">
        <f>transport!G14</f>
        <v>92284.226548904087</v>
      </c>
      <c r="H9" s="449">
        <f>transport!H14</f>
        <v>16194.116273595646</v>
      </c>
      <c r="I9" s="449">
        <f>transport!I14</f>
        <v>0</v>
      </c>
      <c r="J9" s="449">
        <f>transport!J14</f>
        <v>0</v>
      </c>
      <c r="K9" s="449">
        <f>transport!K14</f>
        <v>0</v>
      </c>
      <c r="L9" s="449">
        <f>transport!L14</f>
        <v>0</v>
      </c>
      <c r="M9" s="449">
        <f>transport!M14</f>
        <v>4720.8637523997386</v>
      </c>
      <c r="N9" s="449">
        <f>transport!N14</f>
        <v>0</v>
      </c>
      <c r="O9" s="449">
        <f>transport!O14</f>
        <v>0</v>
      </c>
      <c r="P9" s="449">
        <f>transport!P14</f>
        <v>0</v>
      </c>
      <c r="Q9" s="448">
        <f>SUM(B9:P9)</f>
        <v>113688.0259030821</v>
      </c>
    </row>
    <row r="10" spans="1:17">
      <c r="A10" s="444" t="s">
        <v>545</v>
      </c>
      <c r="B10" s="445">
        <f>transport!B54</f>
        <v>11.641103006852138</v>
      </c>
      <c r="C10" s="445">
        <f>transport!C54</f>
        <v>0</v>
      </c>
      <c r="D10" s="445">
        <f>transport!D54</f>
        <v>0</v>
      </c>
      <c r="E10" s="445">
        <f>transport!E54</f>
        <v>0</v>
      </c>
      <c r="F10" s="445">
        <f>transport!F54</f>
        <v>0</v>
      </c>
      <c r="G10" s="445">
        <f>transport!G54</f>
        <v>2525.4204223112947</v>
      </c>
      <c r="H10" s="445">
        <f>transport!H54</f>
        <v>0</v>
      </c>
      <c r="I10" s="445">
        <f>transport!I54</f>
        <v>0</v>
      </c>
      <c r="J10" s="445">
        <f>transport!J54</f>
        <v>0</v>
      </c>
      <c r="K10" s="445">
        <f>transport!K54</f>
        <v>0</v>
      </c>
      <c r="L10" s="445">
        <f>transport!L54</f>
        <v>0</v>
      </c>
      <c r="M10" s="445">
        <f>transport!M54</f>
        <v>108.12880171462781</v>
      </c>
      <c r="N10" s="445">
        <f>transport!N54</f>
        <v>0</v>
      </c>
      <c r="O10" s="445">
        <f>transport!O54</f>
        <v>0</v>
      </c>
      <c r="P10" s="446">
        <f>transport!P54</f>
        <v>0</v>
      </c>
      <c r="Q10" s="444">
        <f t="shared" si="0"/>
        <v>2645.1903270327748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2043.0889999999999</v>
      </c>
      <c r="C14" s="452"/>
      <c r="D14" s="452">
        <f>'SEAP template'!E25</f>
        <v>1676.1949999999999</v>
      </c>
      <c r="E14" s="452"/>
      <c r="F14" s="452"/>
      <c r="G14" s="452"/>
      <c r="H14" s="452"/>
      <c r="I14" s="452"/>
      <c r="J14" s="452"/>
      <c r="K14" s="452"/>
      <c r="L14" s="452"/>
      <c r="M14" s="452"/>
      <c r="N14" s="452"/>
      <c r="O14" s="452"/>
      <c r="P14" s="453"/>
      <c r="Q14" s="444">
        <f t="shared" si="0"/>
        <v>3719.2839999999997</v>
      </c>
    </row>
    <row r="15" spans="1:17" s="457" customFormat="1">
      <c r="A15" s="454" t="s">
        <v>549</v>
      </c>
      <c r="B15" s="455">
        <f ca="1">SUM(B4:B14)</f>
        <v>110875.12394398954</v>
      </c>
      <c r="C15" s="455">
        <f t="shared" ref="C15:Q15" ca="1" si="1">SUM(C4:C14)</f>
        <v>0</v>
      </c>
      <c r="D15" s="455">
        <f t="shared" ca="1" si="1"/>
        <v>142126.81991471298</v>
      </c>
      <c r="E15" s="455">
        <f t="shared" si="1"/>
        <v>3768.70371202871</v>
      </c>
      <c r="F15" s="455">
        <f t="shared" ca="1" si="1"/>
        <v>103335.34282390762</v>
      </c>
      <c r="G15" s="455">
        <f t="shared" si="1"/>
        <v>94809.646971215378</v>
      </c>
      <c r="H15" s="455">
        <f t="shared" si="1"/>
        <v>16194.116273595646</v>
      </c>
      <c r="I15" s="455">
        <f t="shared" si="1"/>
        <v>0</v>
      </c>
      <c r="J15" s="455">
        <f t="shared" si="1"/>
        <v>2421.3882370288293</v>
      </c>
      <c r="K15" s="455">
        <f t="shared" si="1"/>
        <v>0</v>
      </c>
      <c r="L15" s="455">
        <f t="shared" ca="1" si="1"/>
        <v>0</v>
      </c>
      <c r="M15" s="455">
        <f t="shared" si="1"/>
        <v>4828.9925541143666</v>
      </c>
      <c r="N15" s="455">
        <f t="shared" ca="1" si="1"/>
        <v>12404.737876093954</v>
      </c>
      <c r="O15" s="455">
        <f t="shared" si="1"/>
        <v>75.040000000000006</v>
      </c>
      <c r="P15" s="455">
        <f t="shared" si="1"/>
        <v>381.33333333333337</v>
      </c>
      <c r="Q15" s="455">
        <f t="shared" ca="1" si="1"/>
        <v>491221.24564002029</v>
      </c>
    </row>
    <row r="17" spans="1:17">
      <c r="A17" s="458" t="s">
        <v>550</v>
      </c>
      <c r="B17" s="725">
        <f ca="1">huishoudens!B10</f>
        <v>0.20371372546383076</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7296.0239985129183</v>
      </c>
      <c r="C22" s="445">
        <f t="shared" ref="C22:C32" ca="1" si="3">C4*$C$17</f>
        <v>0</v>
      </c>
      <c r="D22" s="445">
        <f t="shared" ref="D22:D32" si="4">D4*$D$17</f>
        <v>10150.073028964001</v>
      </c>
      <c r="E22" s="445">
        <f t="shared" ref="E22:E32" si="5">E4*$E$17</f>
        <v>519.78480429928584</v>
      </c>
      <c r="F22" s="445">
        <f t="shared" ref="F22:F32" si="6">F4*$F$17</f>
        <v>20868.978952811383</v>
      </c>
      <c r="G22" s="445">
        <f t="shared" ref="G22:G32" si="7">G4*$G$17</f>
        <v>0</v>
      </c>
      <c r="H22" s="445">
        <f t="shared" ref="H22:H32" si="8">H4*$H$17</f>
        <v>0</v>
      </c>
      <c r="I22" s="445">
        <f t="shared" ref="I22:I32" si="9">I4*$I$17</f>
        <v>0</v>
      </c>
      <c r="J22" s="445">
        <f t="shared" ref="J22:J32" si="10">J4*$J$17</f>
        <v>623.03535578841843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39457.896140376004</v>
      </c>
    </row>
    <row r="23" spans="1:17">
      <c r="A23" s="444" t="s">
        <v>149</v>
      </c>
      <c r="B23" s="445">
        <f t="shared" ca="1" si="2"/>
        <v>3399.5312595168839</v>
      </c>
      <c r="C23" s="445">
        <f t="shared" ca="1" si="3"/>
        <v>0</v>
      </c>
      <c r="D23" s="445">
        <f t="shared" ca="1" si="4"/>
        <v>3287.9405997240005</v>
      </c>
      <c r="E23" s="445">
        <f t="shared" si="5"/>
        <v>66.642774340768028</v>
      </c>
      <c r="F23" s="445">
        <f t="shared" ca="1" si="6"/>
        <v>865.53256034022411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7619.6471939218764</v>
      </c>
    </row>
    <row r="24" spans="1:17">
      <c r="A24" s="444" t="s">
        <v>187</v>
      </c>
      <c r="B24" s="445">
        <f t="shared" ca="1" si="2"/>
        <v>217.73167434044785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217.73167434044785</v>
      </c>
    </row>
    <row r="25" spans="1:17">
      <c r="A25" s="444" t="s">
        <v>105</v>
      </c>
      <c r="B25" s="445">
        <f t="shared" ca="1" si="2"/>
        <v>228.07870188420679</v>
      </c>
      <c r="C25" s="445">
        <f t="shared" ca="1" si="3"/>
        <v>0</v>
      </c>
      <c r="D25" s="445">
        <f t="shared" si="4"/>
        <v>24.05730514</v>
      </c>
      <c r="E25" s="445">
        <f t="shared" si="5"/>
        <v>2.290214961143604</v>
      </c>
      <c r="F25" s="445">
        <f t="shared" si="6"/>
        <v>1120.1158193892695</v>
      </c>
      <c r="G25" s="445">
        <f t="shared" si="7"/>
        <v>0</v>
      </c>
      <c r="H25" s="445">
        <f t="shared" si="8"/>
        <v>0</v>
      </c>
      <c r="I25" s="445">
        <f t="shared" si="9"/>
        <v>0</v>
      </c>
      <c r="J25" s="445">
        <f t="shared" si="10"/>
        <v>40.107950163493278</v>
      </c>
      <c r="K25" s="445">
        <f t="shared" si="11"/>
        <v>0</v>
      </c>
      <c r="L25" s="445">
        <f t="shared" si="12"/>
        <v>0</v>
      </c>
      <c r="M25" s="445">
        <f t="shared" si="13"/>
        <v>0</v>
      </c>
      <c r="N25" s="445">
        <f t="shared" si="14"/>
        <v>0</v>
      </c>
      <c r="O25" s="445">
        <f t="shared" si="15"/>
        <v>0</v>
      </c>
      <c r="P25" s="446">
        <f t="shared" si="16"/>
        <v>0</v>
      </c>
      <c r="Q25" s="444">
        <f t="shared" ca="1" si="17"/>
        <v>1414.6499915381132</v>
      </c>
    </row>
    <row r="26" spans="1:17">
      <c r="A26" s="444" t="s">
        <v>613</v>
      </c>
      <c r="B26" s="445">
        <f t="shared" ca="1" si="2"/>
        <v>11026.551750941535</v>
      </c>
      <c r="C26" s="445">
        <f t="shared" ca="1" si="3"/>
        <v>0</v>
      </c>
      <c r="D26" s="445">
        <f t="shared" si="4"/>
        <v>14908.004890416003</v>
      </c>
      <c r="E26" s="445">
        <f t="shared" si="5"/>
        <v>157.20764653254392</v>
      </c>
      <c r="F26" s="445">
        <f t="shared" si="6"/>
        <v>4735.9092014424568</v>
      </c>
      <c r="G26" s="445">
        <f t="shared" si="7"/>
        <v>0</v>
      </c>
      <c r="H26" s="445">
        <f t="shared" si="8"/>
        <v>0</v>
      </c>
      <c r="I26" s="445">
        <f t="shared" si="9"/>
        <v>0</v>
      </c>
      <c r="J26" s="445">
        <f t="shared" si="10"/>
        <v>194.02812995629375</v>
      </c>
      <c r="K26" s="445">
        <f t="shared" si="11"/>
        <v>0</v>
      </c>
      <c r="L26" s="445">
        <f t="shared" si="12"/>
        <v>0</v>
      </c>
      <c r="M26" s="445">
        <f t="shared" si="13"/>
        <v>0</v>
      </c>
      <c r="N26" s="445">
        <f t="shared" si="14"/>
        <v>0</v>
      </c>
      <c r="O26" s="445">
        <f t="shared" si="15"/>
        <v>0</v>
      </c>
      <c r="P26" s="446">
        <f t="shared" si="16"/>
        <v>0</v>
      </c>
      <c r="Q26" s="444">
        <f t="shared" ca="1" si="17"/>
        <v>31021.70161928883</v>
      </c>
    </row>
    <row r="27" spans="1:17" s="450" customFormat="1">
      <c r="A27" s="448" t="s">
        <v>555</v>
      </c>
      <c r="B27" s="719">
        <f t="shared" ca="1" si="2"/>
        <v>0.29045059189647549</v>
      </c>
      <c r="C27" s="449">
        <f t="shared" ca="1" si="3"/>
        <v>0</v>
      </c>
      <c r="D27" s="449">
        <f t="shared" si="4"/>
        <v>0.95040852801458398</v>
      </c>
      <c r="E27" s="449">
        <f t="shared" si="5"/>
        <v>109.57030249677581</v>
      </c>
      <c r="F27" s="449">
        <f t="shared" si="6"/>
        <v>0</v>
      </c>
      <c r="G27" s="449">
        <f t="shared" si="7"/>
        <v>24639.888488557393</v>
      </c>
      <c r="H27" s="449">
        <f t="shared" si="8"/>
        <v>4032.3349521253158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28783.034602299394</v>
      </c>
    </row>
    <row r="28" spans="1:17">
      <c r="A28" s="444" t="s">
        <v>545</v>
      </c>
      <c r="B28" s="445">
        <f t="shared" ca="1" si="2"/>
        <v>2.3714524620340511</v>
      </c>
      <c r="C28" s="445">
        <f t="shared" ca="1" si="3"/>
        <v>0</v>
      </c>
      <c r="D28" s="445">
        <f t="shared" si="4"/>
        <v>0</v>
      </c>
      <c r="E28" s="445">
        <f t="shared" si="5"/>
        <v>0</v>
      </c>
      <c r="F28" s="445">
        <f t="shared" si="6"/>
        <v>0</v>
      </c>
      <c r="G28" s="445">
        <f t="shared" si="7"/>
        <v>674.28725275711577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676.65870521914985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416.20527164417251</v>
      </c>
      <c r="C32" s="445">
        <f t="shared" ca="1" si="3"/>
        <v>0</v>
      </c>
      <c r="D32" s="445">
        <f t="shared" si="4"/>
        <v>338.59138999999999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754.79666164417245</v>
      </c>
    </row>
    <row r="33" spans="1:17" s="457" customFormat="1">
      <c r="A33" s="454" t="s">
        <v>549</v>
      </c>
      <c r="B33" s="455">
        <f ca="1">SUM(B22:B32)</f>
        <v>22586.784559894095</v>
      </c>
      <c r="C33" s="455">
        <f t="shared" ref="C33:Q33" ca="1" si="19">SUM(C22:C32)</f>
        <v>0</v>
      </c>
      <c r="D33" s="455">
        <f t="shared" ca="1" si="19"/>
        <v>28709.617622772021</v>
      </c>
      <c r="E33" s="455">
        <f t="shared" si="19"/>
        <v>855.49574263051727</v>
      </c>
      <c r="F33" s="455">
        <f t="shared" ca="1" si="19"/>
        <v>27590.536533983333</v>
      </c>
      <c r="G33" s="455">
        <f t="shared" si="19"/>
        <v>25314.17574131451</v>
      </c>
      <c r="H33" s="455">
        <f t="shared" si="19"/>
        <v>4032.3349521253158</v>
      </c>
      <c r="I33" s="455">
        <f t="shared" si="19"/>
        <v>0</v>
      </c>
      <c r="J33" s="455">
        <f t="shared" si="19"/>
        <v>857.17143590820547</v>
      </c>
      <c r="K33" s="455">
        <f t="shared" si="19"/>
        <v>0</v>
      </c>
      <c r="L33" s="455">
        <f t="shared" ca="1" si="19"/>
        <v>0</v>
      </c>
      <c r="M33" s="455">
        <f t="shared" si="19"/>
        <v>0</v>
      </c>
      <c r="N33" s="455">
        <f t="shared" ca="1" si="19"/>
        <v>0</v>
      </c>
      <c r="O33" s="455">
        <f t="shared" si="19"/>
        <v>0</v>
      </c>
      <c r="P33" s="455">
        <f t="shared" si="19"/>
        <v>0</v>
      </c>
      <c r="Q33" s="455">
        <f t="shared" ca="1" si="19"/>
        <v>109946.11658862798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8672.4788765954563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8672.4788765954563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0.20371372546383076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0.20371372546383076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2022-07-26T13:07:04Z</dcterms:modified>
</cp:coreProperties>
</file>