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631B990B-A732-4C0A-8F6B-1A1336EE9BE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<sst xmlns="http://schemas.openxmlformats.org/spreadsheetml/2006/main" count="2513" uniqueCount="962">
  <si>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</si>
  <si>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</si>
  <si>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</si>
  <si>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</si>
  <si>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</si>
  <si>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</si>
  <si>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</si>
  <si>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</si>
  <si>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</si>
  <si>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</si>
  <si>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</si>
  <si>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</si>
  <si>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</si>
  <si>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</si>
  <si>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</si>
  <si>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</si>
  <si>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</si>
  <si>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</si>
  <si>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</si>
  <si>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</si>
  <si>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</si>
  <si>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</si>
  <si>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</si>
  <si>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</si>
  <si>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</si>
  <si>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</si>
  <si>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</si>
  <si>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</si>
  <si>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</si>
  <si>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</si>
  <si>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</si>
  <si>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</si>
  <si>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</si>
  <si>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</si>
  <si>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</si>
  <si>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</si>
  <si>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</si>
  <si>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</si>
  <si>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</si>
  <si>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</si>
  <si>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</si>
  <si>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</si>
  <si>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</si>
  <si>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</si>
  <si>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</si>
  <si>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</si>
  <si>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</si>
  <si>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</si>
  <si>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</si>
  <si>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</si>
  <si>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</si>
  <si>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</si>
  <si>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</si>
  <si>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</si>
  <si>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</si>
  <si>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</si>
  <si>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</si>
  <si>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</si>
  <si>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</si>
  <si>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</si>
  <si>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</si>
  <si>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</si>
  <si>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</si>
  <si>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</si>
  <si>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</si>
  <si>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</si>
  <si>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</si>
  <si>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</si>
  <si>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</si>
  <si>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</si>
  <si>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</si>
  <si>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</si>
  <si>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</si>
  <si>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</si>
  <si>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</si>
  <si>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</si>
  <si>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</si>
  <si>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</si>
  <si>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</si>
  <si>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</si>
  <si>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</si>
  <si>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</si>
  <si>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</si>
  <si>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</si>
  <si>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</si>
  <si>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</si>
  <si>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</si>
  <si>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</si>
  <si>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</si>
  <si>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</si>
  <si>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</si>
  <si>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</si>
  <si>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</si>
  <si>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</si>
  <si>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</si>
  <si>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</si>
  <si>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</si>
  <si>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</si>
  <si>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</si>
  <si>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</si>
  <si>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</si>
  <si>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</si>
  <si>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</si>
  <si>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</si>
  <si>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</si>
  <si>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</si>
  <si>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</si>
  <si>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</si>
  <si>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</si>
  <si>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</si>
  <si>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</si>
  <si>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</si>
  <si>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</si>
  <si>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</si>
  <si>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</si>
  <si>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</si>
  <si>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</si>
  <si>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</si>
  <si>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</si>
  <si>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</si>
  <si>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</si>
  <si>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</si>
  <si>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</si>
  <si>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</si>
  <si>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</si>
  <si>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</si>
  <si>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</si>
  <si>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</si>
  <si>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</si>
  <si>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</si>
  <si>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</si>
  <si>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</si>
  <si>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</si>
  <si>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</si>
  <si>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</si>
  <si>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</si>
  <si>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</si>
  <si>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</si>
  <si>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</si>
  <si>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</si>
  <si>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</si>
  <si>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</si>
  <si>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</si>
  <si>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</si>
  <si>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</si>
  <si>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</si>
  <si>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</si>
  <si>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</si>
  <si>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</si>
  <si>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</si>
  <si>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</si>
  <si>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</si>
  <si>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</si>
  <si>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</si>
  <si>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</si>
  <si>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</si>
  <si>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</si>
  <si>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</si>
  <si>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</si>
  <si>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</si>
  <si>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</si>
  <si>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</si>
  <si>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</si>
  <si>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</si>
  <si>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</si>
  <si>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</si>
  <si>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</si>
  <si>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</si>
  <si>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</si>
  <si>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</si>
  <si>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</si>
  <si>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</si>
  <si>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</si>
  <si>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</si>
  <si>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</si>
  <si>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</si>
  <si>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</si>
  <si>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</si>
  <si>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</si>
  <si>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</si>
  <si>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</si>
  <si>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</si>
  <si>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</si>
  <si>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</si>
  <si>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</si>
  <si>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</si>
  <si>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</si>
  <si>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</si>
  <si>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</si>
  <si>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</si>
  <si>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</si>
  <si>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</si>
  <si>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</si>
  <si>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</si>
  <si>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</si>
  <si>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</si>
  <si>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</si>
  <si>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</si>
  <si>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</si>
  <si>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</si>
  <si>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</si>
  <si>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</si>
  <si>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</si>
  <si>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</si>
  <si>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</si>
  <si>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</si>
  <si>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</si>
  <si>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</si>
  <si>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</si>
  <si>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</si>
  <si>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</si>
  <si>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</si>
  <si>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</si>
  <si>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</si>
  <si>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</si>
  <si>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</si>
  <si>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</si>
  <si>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</si>
  <si>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</si>
  <si>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</si>
  <si>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</si>
  <si>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</si>
  <si>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</si>
  <si>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</si>
  <si>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</si>
  <si>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</si>
  <si>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</si>
  <si>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</si>
  <si>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</si>
  <si>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</si>
  <si>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</si>
  <si>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</si>
  <si>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</si>
  <si>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</si>
  <si>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</si>
  <si>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</si>
  <si>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</si>
  <si>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</si>
  <si>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</si>
  <si>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</si>
  <si>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</si>
  <si>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</si>
  <si>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</si>
  <si>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</si>
  <si>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</si>
  <si>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</si>
  <si>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</si>
  <si>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</si>
  <si>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</si>
  <si>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</si>
  <si>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</si>
  <si>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</si>
  <si>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</si>
  <si>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</si>
  <si>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</si>
  <si>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</si>
  <si>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</si>
  <si>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</si>
  <si>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</si>
  <si>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</si>
  <si>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</si>
  <si>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</si>
  <si>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</si>
  <si>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</si>
  <si>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</si>
  <si>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</si>
  <si>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</si>
  <si>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</si>
  <si>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</si>
  <si>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</si>
  <si>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</si>
  <si>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</si>
  <si>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</si>
  <si>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</si>
  <si>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</si>
  <si>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</si>
  <si>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</si>
  <si>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</si>
  <si>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</si>
  <si>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</si>
  <si>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</si>
  <si>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</si>
  <si>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</si>
  <si>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</si>
  <si>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</si>
  <si>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</si>
  <si>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</si>
  <si>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</si>
  <si>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</si>
  <si>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</si>
  <si>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</si>
  <si>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</si>
  <si>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</si>
  <si>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</si>
  <si>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</si>
  <si>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</si>
  <si>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</si>
  <si>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</si>
  <si>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</si>
  <si>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</si>
  <si>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</si>
  <si>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</si>
  <si>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</si>
  <si>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</si>
  <si>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</si>
  <si>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</si>
  <si>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</si>
  <si>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</si>
  <si>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</si>
  <si>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</si>
  <si>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</si>
  <si>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</si>
  <si>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</si>
  <si>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</si>
  <si>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</si>
  <si>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</si>
  <si>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</si>
  <si>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</si>
  <si>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</si>
  <si>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</si>
  <si>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</si>
  <si>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</si>
  <si>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</si>
  <si>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</si>
  <si>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</si>
  <si>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</si>
  <si>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</si>
  <si>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</si>
  <si>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</si>
  <si>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</si>
  <si>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</si>
  <si>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</si>
  <si>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</si>
  <si>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</si>
  <si>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</si>
  <si>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</si>
  <si>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</si>
  <si>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</si>
  <si>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</si>
  <si>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</si>
  <si>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</si>
  <si>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</si>
  <si>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</si>
  <si>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</si>
  <si>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</si>
  <si>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</si>
  <si>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</si>
  <si>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</si>
  <si>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</si>
  <si>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</si>
  <si>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</si>
  <si>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</si>
  <si>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</si>
  <si>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</si>
  <si>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</si>
  <si>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</si>
  <si>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</si>
  <si>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</si>
  <si>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</si>
  <si>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</si>
  <si>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</si>
  <si>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</si>
  <si>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</si>
  <si>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</si>
  <si>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</si>
  <si>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</si>
  <si>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</si>
  <si>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</si>
  <si>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</si>
  <si>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</si>
  <si>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</si>
  <si>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</si>
  <si>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</si>
  <si>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</si>
  <si>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</si>
  <si>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</si>
  <si>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</si>
  <si>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</si>
  <si>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</si>
  <si>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</si>
  <si>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</si>
  <si>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</si>
  <si>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</si>
  <si>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</si>
  <si>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</si>
  <si>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</si>
  <si>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</si>
  <si>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</si>
  <si>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</si>
  <si>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</si>
  <si>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</si>
  <si>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</si>
  <si>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</si>
  <si>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</si>
  <si>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</si>
  <si>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</si>
  <si>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</si>
  <si>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</si>
  <si>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</si>
  <si>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</si>
  <si>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</si>
  <si>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</si>
  <si>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</si>
  <si>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</si>
  <si>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</si>
  <si>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</si>
  <si>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</si>
  <si>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</si>
  <si>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</si>
  <si>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</si>
  <si>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</si>
  <si>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</si>
  <si>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</si>
  <si>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</si>
  <si>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</si>
  <si>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</si>
  <si>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</si>
  <si>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</si>
  <si>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</si>
  <si>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</si>
  <si>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</si>
  <si>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</si>
  <si>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</si>
  <si>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</si>
  <si>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</si>
  <si>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</si>
  <si>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</si>
  <si>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</si>
  <si>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</si>
  <si>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</si>
  <si>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</si>
  <si>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</si>
  <si>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</si>
  <si>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</si>
  <si>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</si>
  <si>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</si>
  <si>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</si>
  <si>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</si>
  <si>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</si>
  <si>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</si>
  <si>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</si>
  <si>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</si>
  <si>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</si>
  <si>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</si>
  <si>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</si>
  <si>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</si>
  <si>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</si>
  <si>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</si>
  <si>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</si>
  <si>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</si>
  <si>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</si>
  <si>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</si>
  <si>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</si>
  <si>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</si>
  <si>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</si>
  <si>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</si>
  <si>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</si>
  <si>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</si>
  <si>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</si>
  <si>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</si>
  <si>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</si>
  <si>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</si>
  <si>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</si>
  <si>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</si>
  <si>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</si>
  <si>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</si>
  <si>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</si>
  <si>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</si>
  <si>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</si>
  <si>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</si>
  <si>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</si>
  <si>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</si>
  <si>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</si>
  <si>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</si>
  <si>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</si>
  <si>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</si>
  <si>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</si>
  <si>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</si>
  <si>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</si>
  <si>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</si>
  <si>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</si>
  <si>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</si>
  <si>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</si>
  <si>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</si>
  <si>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</si>
  <si>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</si>
  <si>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</si>
  <si>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</si>
  <si>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</si>
  <si>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</si>
  <si>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</si>
  <si>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</si>
  <si>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</si>
  <si>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</si>
  <si>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</si>
  <si>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</si>
  <si>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</si>
  <si>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</si>
  <si>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</si>
  <si>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</si>
  <si>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</si>
  <si>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</si>
  <si>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</si>
  <si>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</si>
  <si>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</si>
  <si>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</si>
  <si>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</si>
  <si>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</si>
  <si>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</si>
  <si>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</si>
  <si>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</si>
  <si>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</si>
  <si>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</si>
  <si>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</si>
  <si>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</si>
  <si>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</si>
  <si>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</si>
  <si>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</si>
  <si>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</si>
  <si>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</si>
  <si>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</si>
  <si>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</si>
  <si>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</si>
  <si>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</si>
  <si>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</si>
  <si>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</si>
  <si>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</si>
  <si>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</si>
  <si>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</si>
  <si>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</si>
  <si>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</si>
  <si>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</si>
  <si>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</si>
  <si>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</si>
  <si>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</si>
  <si>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</si>
  <si>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</si>
  <si>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</si>
  <si>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</si>
  <si>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</si>
  <si>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</si>
  <si>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</si>
  <si>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</si>
  <si>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</si>
  <si>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</si>
  <si>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</si>
  <si>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</si>
  <si>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</si>
  <si>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</si>
  <si>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</si>
  <si>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</si>
  <si>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</si>
  <si>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</si>
  <si>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</si>
  <si>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</si>
  <si>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</si>
  <si>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</si>
  <si>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</si>
  <si>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</si>
  <si>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</si>
  <si>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</si>
  <si>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</si>
  <si>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</si>
  <si>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</si>
  <si>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</si>
  <si>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</si>
  <si>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</si>
  <si>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</si>
  <si>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</si>
  <si>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</si>
  <si>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</si>
  <si>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</si>
  <si>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</si>
  <si>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</si>
  <si>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</si>
  <si>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</si>
  <si>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</si>
  <si>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</si>
  <si>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</si>
  <si>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</si>
  <si>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</si>
  <si>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</si>
  <si>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</si>
  <si>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</si>
  <si>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</si>
  <si>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</si>
  <si>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</si>
  <si>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</si>
  <si>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</si>
  <si>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</si>
  <si>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</si>
  <si>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</si>
  <si>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</si>
  <si>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</si>
  <si>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</si>
  <si>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</si>
  <si>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</si>
  <si>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</si>
  <si>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</si>
  <si>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</si>
  <si>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</si>
  <si>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</si>
  <si>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</si>
  <si>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</si>
  <si>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</si>
  <si>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</si>
  <si>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</si>
  <si>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</si>
  <si>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</si>
  <si>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</si>
  <si>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</si>
  <si>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</si>
  <si>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</si>
  <si>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</si>
  <si>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</si>
  <si>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</si>
  <si>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</si>
  <si>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</si>
  <si>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</si>
  <si>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</si>
  <si>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</si>
  <si>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</si>
  <si>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</si>
  <si>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</si>
  <si>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</si>
  <si>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</si>
  <si>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</si>
  <si>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</si>
  <si>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</si>
  <si>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</si>
  <si>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</si>
  <si>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</si>
  <si>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</si>
  <si>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</si>
  <si>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</si>
  <si>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</si>
  <si>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</si>
  <si>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</si>
  <si>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</si>
  <si>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</si>
  <si>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</si>
  <si>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</si>
  <si>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</si>
  <si>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</si>
  <si>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</si>
  <si>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</si>
  <si>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</si>
  <si>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</si>
  <si>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</si>
  <si>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</si>
  <si>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</si>
  <si>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</si>
  <si>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</si>
  <si>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</si>
  <si>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</si>
  <si>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</si>
  <si>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</si>
  <si>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</si>
  <si>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</si>
  <si>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</si>
  <si>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</si>
  <si>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</si>
  <si>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</si>
  <si>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</si>
  <si>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</si>
  <si>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</si>
  <si>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</si>
  <si>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</si>
  <si>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</si>
  <si>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</si>
  <si>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</si>
  <si>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</si>
  <si>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</si>
  <si>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</si>
  <si>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</si>
  <si>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</si>
  <si>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</si>
  <si>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</si>
  <si>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</si>
  <si>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</si>
  <si>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</si>
  <si>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</si>
  <si>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</si>
  <si>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</si>
  <si>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</si>
  <si>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</si>
  <si>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</si>
  <si>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</si>
  <si>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</si>
  <si>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</si>
  <si>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</si>
  <si>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</si>
  <si>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</si>
  <si>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</si>
  <si>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</si>
  <si>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</si>
  <si>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</si>
  <si>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</si>
  <si>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</si>
  <si>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</si>
  <si>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</si>
  <si>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</si>
  <si>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</si>
  <si>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</si>
  <si>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</si>
  <si>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</si>
  <si>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</si>
  <si>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</si>
  <si>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</si>
  <si>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</si>
  <si>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</si>
  <si>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</si>
  <si>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</si>
  <si>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</si>
  <si>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</si>
  <si>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</si>
  <si>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</si>
  <si>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</si>
  <si>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</si>
  <si>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</si>
  <si>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</si>
  <si>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</si>
  <si>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</si>
  <si>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</si>
  <si>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</si>
  <si>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</si>
  <si>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</si>
  <si>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</si>
  <si>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</si>
  <si>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</si>
  <si>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</si>
  <si>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</si>
  <si>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</si>
  <si>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</si>
  <si>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</si>
  <si>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</si>
  <si>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</si>
  <si>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</si>
  <si>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</si>
  <si>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</si>
  <si>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</si>
  <si>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</si>
  <si>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</si>
  <si>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</si>
  <si>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</si>
  <si>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</si>
  <si>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</si>
  <si>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</si>
  <si>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</si>
  <si>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</si>
  <si>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</si>
  <si>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</si>
  <si>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</si>
  <si>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</si>
  <si>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</si>
  <si>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</si>
  <si>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</si>
  <si>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</si>
  <si>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</si>
  <si>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</si>
  <si>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</si>
  <si>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</si>
  <si>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</si>
  <si>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</si>
  <si>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</si>
  <si>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</si>
  <si>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</si>
  <si>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</si>
  <si>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</si>
  <si>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</si>
  <si>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</si>
  <si>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</si>
  <si>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</si>
  <si>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</si>
  <si>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</si>
  <si>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</si>
  <si>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</si>
  <si>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</si>
  <si>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</si>
  <si>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</si>
  <si>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</si>
  <si>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</si>
  <si>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</si>
  <si>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</si>
  <si>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</si>
  <si>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</si>
  <si>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</si>
  <si>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</si>
  <si>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</si>
  <si>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</si>
  <si>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</si>
  <si>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</si>
  <si>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</si>
  <si>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</si>
  <si>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</si>
  <si>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</si>
  <si>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</si>
  <si>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</si>
  <si>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</si>
  <si>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</si>
  <si>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</si>
  <si>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</si>
  <si>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</si>
  <si>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</si>
  <si>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</si>
  <si>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</si>
  <si>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</si>
  <si>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</si>
  <si>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</si>
  <si>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</si>
  <si>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</si>
  <si>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</si>
  <si>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</si>
  <si>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</si>
  <si>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</si>
  <si>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</si>
  <si>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</si>
  <si>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</si>
  <si>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</si>
  <si>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</si>
  <si>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</si>
  <si>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</si>
  <si>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</si>
  <si>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</si>
  <si>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</si>
  <si>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</si>
  <si>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</si>
  <si>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</si>
  <si>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</si>
  <si>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</si>
  <si>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</si>
  <si>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</si>
  <si>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</si>
  <si>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</si>
  <si>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</si>
  <si>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</si>
  <si>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</si>
  <si>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</si>
  <si>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</si>
  <si>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</si>
  <si>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</si>
  <si>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</si>
  <si>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</si>
  <si>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</si>
  <si>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</si>
  <si>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</si>
  <si>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</si>
  <si>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</si>
  <si>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</si>
  <si>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</si>
  <si>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</si>
  <si>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</si>
  <si>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</si>
  <si>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</si>
  <si>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</si>
  <si>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</si>
  <si>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</si>
  <si>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</si>
  <si>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</si>
  <si>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</si>
  <si>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</si>
  <si>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</si>
  <si>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</si>
  <si>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</si>
  <si>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</si>
  <si>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</si>
  <si>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</si>
  <si>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</si>
  <si>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</si>
  <si>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</si>
  <si>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</si>
  <si>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</si>
  <si>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</si>
  <si>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</si>
  <si>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</si>
  <si>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</si>
  <si>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</si>
  <si>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</si>
  <si>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</si>
  <si>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</si>
  <si>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</si>
  <si>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</si>
  <si>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</si>
  <si>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</si>
  <si>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</si>
  <si>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</si>
  <si>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</si>
  <si>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</si>
  <si>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</si>
  <si>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</si>
  <si>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</si>
  <si>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</si>
  <si>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</si>
  <si>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</si>
  <si>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</si>
  <si>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</si>
  <si>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</si>
  <si>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</si>
  <si>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</si>
  <si>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</si>
  <si>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</si>
  <si>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</si>
  <si>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</si>
  <si>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</si>
  <si>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</si>
  <si>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</si>
  <si>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</si>
  <si>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</si>
  <si>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</si>
  <si>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</si>
  <si>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</si>
  <si>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</si>
  <si>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</si>
  <si>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</si>
  <si>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</si>
  <si>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</si>
  <si>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</si>
  <si>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</si>
  <si>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</si>
  <si>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</si>
  <si>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</si>
  <si>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</si>
  <si>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</si>
  <si>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</si>
  <si>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</si>
  <si>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</si>
  <si>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</si>
  <si>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</si>
  <si>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</si>
  <si>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</si>
  <si>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</si>
  <si>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</si>
  <si>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</si>
  <si>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</si>
  <si>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</si>
  <si>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</si>
  <si>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</si>
  <si>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</si>
  <si>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</si>
  <si>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</si>
  <si>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</si>
  <si>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</si>
  <si>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</si>
  <si>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</si>
  <si>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</si>
  <si>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</si>
  <si>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</si>
  <si>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</si>
  <si>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</si>
  <si>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</si>
  <si>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</si>
  <si>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</si>
  <si>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</si>
  <si>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</si>
  <si>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</si>
  <si>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</si>
  <si>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</si>
  <si>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71067</t>
  </si>
  <si>
    <t>ZUTENDAAL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</si>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</sst>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C56A3754-9849-49C5-BF36-55000E82994C}"/>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71067</v>
      </c>
      <c r="B6" s="382"/>
      <c r="C6" s="383"/>
    </row>
    <row r="7" spans="1:7" s="380" customFormat="1" ht="15.75" customHeight="1">
      <c r="A7" s="384" t="str">
        <f>txtMunicipality</f>
        <v>ZUTENDAAL</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0.21408844719066172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0.21408844719066172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2813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287</v>
      </c>
      <c r="C14" s="324"/>
      <c r="D14" s="324"/>
      <c r="E14" s="324"/>
      <c r="F14" s="324"/>
    </row>
    <row r="15" spans="1:6">
      <c r="A15" s="1235" t="s">
        <v>177</v>
      </c>
      <c r="B15" s="1236">
        <v>3</v>
      </c>
      <c r="C15" s="324"/>
      <c r="D15" s="324"/>
      <c r="E15" s="324"/>
      <c r="F15" s="324"/>
    </row>
    <row r="16" spans="1:6">
      <c r="A16" s="1235" t="s">
        <v>6</v>
      </c>
      <c r="B16" s="1236">
        <v>44</v>
      </c>
      <c r="C16" s="324"/>
      <c r="D16" s="324"/>
      <c r="E16" s="324"/>
      <c r="F16" s="324"/>
    </row>
    <row r="17" spans="1:6">
      <c r="A17" s="1235" t="s">
        <v>7</v>
      </c>
      <c r="B17" s="1236">
        <v>70</v>
      </c>
      <c r="C17" s="324"/>
      <c r="D17" s="324"/>
      <c r="E17" s="324"/>
      <c r="F17" s="324"/>
    </row>
    <row r="18" spans="1:6">
      <c r="A18" s="1235" t="s">
        <v>8</v>
      </c>
      <c r="B18" s="1236">
        <v>74</v>
      </c>
      <c r="C18" s="324"/>
      <c r="D18" s="324"/>
      <c r="E18" s="324"/>
      <c r="F18" s="324"/>
    </row>
    <row r="19" spans="1:6">
      <c r="A19" s="1235" t="s">
        <v>9</v>
      </c>
      <c r="B19" s="1236">
        <v>81</v>
      </c>
      <c r="C19" s="324"/>
      <c r="D19" s="324"/>
      <c r="E19" s="324"/>
      <c r="F19" s="324"/>
    </row>
    <row r="20" spans="1:6">
      <c r="A20" s="1235" t="s">
        <v>10</v>
      </c>
      <c r="B20" s="1236">
        <v>96</v>
      </c>
      <c r="C20" s="324"/>
      <c r="D20" s="324"/>
      <c r="E20" s="324"/>
      <c r="F20" s="324"/>
    </row>
    <row r="21" spans="1:6">
      <c r="A21" s="1235" t="s">
        <v>11</v>
      </c>
      <c r="B21" s="1236">
        <v>0</v>
      </c>
      <c r="C21" s="324"/>
      <c r="D21" s="324"/>
      <c r="E21" s="324"/>
      <c r="F21" s="324"/>
    </row>
    <row r="22" spans="1:6">
      <c r="A22" s="1235" t="s">
        <v>12</v>
      </c>
      <c r="B22" s="1236">
        <v>382</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25</v>
      </c>
      <c r="C26" s="324"/>
      <c r="D26" s="324"/>
      <c r="E26" s="324"/>
      <c r="F26" s="324"/>
    </row>
    <row r="27" spans="1:6">
      <c r="A27" s="1235" t="s">
        <v>17</v>
      </c>
      <c r="B27" s="1236">
        <v>0</v>
      </c>
      <c r="C27" s="324"/>
      <c r="D27" s="324"/>
      <c r="E27" s="324"/>
      <c r="F27" s="324"/>
    </row>
    <row r="28" spans="1:6">
      <c r="A28" s="1235" t="s">
        <v>18</v>
      </c>
      <c r="B28" s="1237">
        <v>71068</v>
      </c>
      <c r="C28" s="324"/>
      <c r="D28" s="324"/>
      <c r="E28" s="324"/>
      <c r="F28" s="324"/>
    </row>
    <row r="29" spans="1:6">
      <c r="A29" s="1235" t="s">
        <v>959</v>
      </c>
      <c r="B29" s="1237">
        <v>122</v>
      </c>
      <c r="C29" s="324"/>
      <c r="D29" s="324"/>
      <c r="E29" s="324"/>
      <c r="F29" s="324"/>
    </row>
    <row r="30" spans="1:6">
      <c r="A30" s="1230" t="s">
        <v>960</v>
      </c>
      <c r="B30" s="1238">
        <v>19</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7</v>
      </c>
      <c r="F36" s="1236">
        <v>27281</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838</v>
      </c>
      <c r="D39" s="1236">
        <v>14498458</v>
      </c>
      <c r="E39" s="1236">
        <v>2884</v>
      </c>
      <c r="F39" s="1236">
        <v>13873399</v>
      </c>
    </row>
    <row r="40" spans="1:6">
      <c r="A40" s="1235" t="s">
        <v>29</v>
      </c>
      <c r="B40" s="1235" t="s">
        <v>28</v>
      </c>
      <c r="C40" s="1236">
        <v>0</v>
      </c>
      <c r="D40" s="1236">
        <v>0</v>
      </c>
      <c r="E40" s="1236">
        <v>0</v>
      </c>
      <c r="F40" s="1236">
        <v>0</v>
      </c>
    </row>
    <row r="41" spans="1:6">
      <c r="A41" s="1235" t="s">
        <v>31</v>
      </c>
      <c r="B41" s="1235" t="s">
        <v>32</v>
      </c>
      <c r="C41" s="1236">
        <v>6</v>
      </c>
      <c r="D41" s="1236">
        <v>1449028</v>
      </c>
      <c r="E41" s="1236">
        <v>39</v>
      </c>
      <c r="F41" s="1236">
        <v>1905159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6</v>
      </c>
      <c r="F44" s="1236">
        <v>946232</v>
      </c>
    </row>
    <row r="45" spans="1:6">
      <c r="A45" s="1235" t="s">
        <v>31</v>
      </c>
      <c r="B45" s="1235" t="s">
        <v>36</v>
      </c>
      <c r="C45" s="1236">
        <v>0</v>
      </c>
      <c r="D45" s="1236">
        <v>0</v>
      </c>
      <c r="E45" s="1236">
        <v>3</v>
      </c>
      <c r="F45" s="1236">
        <v>995161</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6</v>
      </c>
      <c r="D48" s="1236">
        <v>1480404</v>
      </c>
      <c r="E48" s="1236">
        <v>0</v>
      </c>
      <c r="F48" s="1236">
        <v>0</v>
      </c>
    </row>
    <row r="49" spans="1:6">
      <c r="A49" s="1235" t="s">
        <v>31</v>
      </c>
      <c r="B49" s="1235" t="s">
        <v>39</v>
      </c>
      <c r="C49" s="1236">
        <v>0</v>
      </c>
      <c r="D49" s="1236">
        <v>0</v>
      </c>
      <c r="E49" s="1236">
        <v>0</v>
      </c>
      <c r="F49" s="1236">
        <v>0</v>
      </c>
    </row>
    <row r="50" spans="1:6">
      <c r="A50" s="1235" t="s">
        <v>31</v>
      </c>
      <c r="B50" s="1235" t="s">
        <v>40</v>
      </c>
      <c r="C50" s="1236">
        <v>0</v>
      </c>
      <c r="D50" s="1236">
        <v>0</v>
      </c>
      <c r="E50" s="1236">
        <v>5</v>
      </c>
      <c r="F50" s="1236">
        <v>160295</v>
      </c>
    </row>
    <row r="51" spans="1:6">
      <c r="A51" s="1235" t="s">
        <v>41</v>
      </c>
      <c r="B51" s="1235" t="s">
        <v>42</v>
      </c>
      <c r="C51" s="1236">
        <v>0</v>
      </c>
      <c r="D51" s="1236">
        <v>0</v>
      </c>
      <c r="E51" s="1236">
        <v>7</v>
      </c>
      <c r="F51" s="1236">
        <v>145990</v>
      </c>
    </row>
    <row r="52" spans="1:6">
      <c r="A52" s="1235" t="s">
        <v>41</v>
      </c>
      <c r="B52" s="1235" t="s">
        <v>28</v>
      </c>
      <c r="C52" s="1236">
        <v>1</v>
      </c>
      <c r="D52" s="1236">
        <v>40261</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32</v>
      </c>
      <c r="F54" s="1236">
        <v>691376</v>
      </c>
    </row>
    <row r="55" spans="1:6">
      <c r="A55" s="1235" t="s">
        <v>45</v>
      </c>
      <c r="B55" s="1235" t="s">
        <v>28</v>
      </c>
      <c r="C55" s="1236">
        <v>0</v>
      </c>
      <c r="D55" s="1236">
        <v>0</v>
      </c>
      <c r="E55" s="1236">
        <v>0</v>
      </c>
      <c r="F55" s="1236">
        <v>0</v>
      </c>
    </row>
    <row r="56" spans="1:6">
      <c r="A56" s="1235" t="s">
        <v>47</v>
      </c>
      <c r="B56" s="1235" t="s">
        <v>28</v>
      </c>
      <c r="C56" s="1236">
        <v>15</v>
      </c>
      <c r="D56" s="1236">
        <v>416048</v>
      </c>
      <c r="E56" s="1236">
        <v>99</v>
      </c>
      <c r="F56" s="1236">
        <v>6505508</v>
      </c>
    </row>
    <row r="57" spans="1:6">
      <c r="A57" s="1235" t="s">
        <v>48</v>
      </c>
      <c r="B57" s="1235" t="s">
        <v>49</v>
      </c>
      <c r="C57" s="1236">
        <v>7</v>
      </c>
      <c r="D57" s="1236">
        <v>232315</v>
      </c>
      <c r="E57" s="1236">
        <v>22</v>
      </c>
      <c r="F57" s="1236">
        <v>821617</v>
      </c>
    </row>
    <row r="58" spans="1:6">
      <c r="A58" s="1235" t="s">
        <v>48</v>
      </c>
      <c r="B58" s="1235" t="s">
        <v>50</v>
      </c>
      <c r="C58" s="1236">
        <v>4</v>
      </c>
      <c r="D58" s="1236">
        <v>500694</v>
      </c>
      <c r="E58" s="1236">
        <v>8</v>
      </c>
      <c r="F58" s="1236">
        <v>217749</v>
      </c>
    </row>
    <row r="59" spans="1:6">
      <c r="A59" s="1235" t="s">
        <v>48</v>
      </c>
      <c r="B59" s="1235" t="s">
        <v>51</v>
      </c>
      <c r="C59" s="1236">
        <v>8</v>
      </c>
      <c r="D59" s="1236">
        <v>377717</v>
      </c>
      <c r="E59" s="1236">
        <v>56</v>
      </c>
      <c r="F59" s="1236">
        <v>5388847</v>
      </c>
    </row>
    <row r="60" spans="1:6">
      <c r="A60" s="1235" t="s">
        <v>48</v>
      </c>
      <c r="B60" s="1235" t="s">
        <v>52</v>
      </c>
      <c r="C60" s="1236">
        <v>13</v>
      </c>
      <c r="D60" s="1236">
        <v>462694</v>
      </c>
      <c r="E60" s="1236">
        <v>31</v>
      </c>
      <c r="F60" s="1236">
        <v>904956</v>
      </c>
    </row>
    <row r="61" spans="1:6">
      <c r="A61" s="1235" t="s">
        <v>48</v>
      </c>
      <c r="B61" s="1235" t="s">
        <v>53</v>
      </c>
      <c r="C61" s="1236">
        <v>27</v>
      </c>
      <c r="D61" s="1236">
        <v>830517</v>
      </c>
      <c r="E61" s="1236">
        <v>106</v>
      </c>
      <c r="F61" s="1236">
        <v>1299017</v>
      </c>
    </row>
    <row r="62" spans="1:6">
      <c r="A62" s="1235" t="s">
        <v>48</v>
      </c>
      <c r="B62" s="1235" t="s">
        <v>54</v>
      </c>
      <c r="C62" s="1236">
        <v>4</v>
      </c>
      <c r="D62" s="1236">
        <v>127301</v>
      </c>
      <c r="E62" s="1236">
        <v>5</v>
      </c>
      <c r="F62" s="1236">
        <v>65634</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0</v>
      </c>
      <c r="D65" s="1236">
        <v>0</v>
      </c>
      <c r="E65" s="1236">
        <v>2</v>
      </c>
      <c r="F65" s="1236">
        <v>9783</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0</v>
      </c>
      <c r="F68" s="1238">
        <v>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55575151</v>
      </c>
      <c r="E73" s="443"/>
      <c r="F73" s="324"/>
    </row>
    <row r="74" spans="1:6">
      <c r="A74" s="1235" t="s">
        <v>63</v>
      </c>
      <c r="B74" s="1235" t="s">
        <v>730</v>
      </c>
      <c r="C74" s="1248" t="s">
        <v>731</v>
      </c>
      <c r="D74" s="1236">
        <v>2363355.2168745426</v>
      </c>
      <c r="E74" s="443"/>
      <c r="F74" s="324"/>
    </row>
    <row r="75" spans="1:6">
      <c r="A75" s="1235" t="s">
        <v>64</v>
      </c>
      <c r="B75" s="1235" t="s">
        <v>728</v>
      </c>
      <c r="C75" s="1248" t="s">
        <v>732</v>
      </c>
      <c r="D75" s="1236">
        <v>12300845</v>
      </c>
      <c r="E75" s="443"/>
      <c r="F75" s="324"/>
    </row>
    <row r="76" spans="1:6">
      <c r="A76" s="1235" t="s">
        <v>64</v>
      </c>
      <c r="B76" s="1235" t="s">
        <v>730</v>
      </c>
      <c r="C76" s="1248" t="s">
        <v>733</v>
      </c>
      <c r="D76" s="1236">
        <v>17660.5</v>
      </c>
      <c r="E76" s="443"/>
      <c r="F76" s="324"/>
    </row>
    <row r="77" spans="1:6">
      <c r="A77" s="1235" t="s">
        <v>65</v>
      </c>
      <c r="B77" s="1235" t="s">
        <v>728</v>
      </c>
      <c r="C77" s="1248" t="s">
        <v>734</v>
      </c>
      <c r="D77" s="1236">
        <v>18838995</v>
      </c>
      <c r="E77" s="443"/>
      <c r="F77" s="324"/>
    </row>
    <row r="78" spans="1:6">
      <c r="A78" s="1230" t="s">
        <v>65</v>
      </c>
      <c r="B78" s="1230" t="s">
        <v>730</v>
      </c>
      <c r="C78" s="1230" t="s">
        <v>735</v>
      </c>
      <c r="D78" s="1238">
        <v>3834979</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349111.56625091488</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982.68100561910626</v>
      </c>
      <c r="C91" s="324"/>
      <c r="D91" s="324"/>
      <c r="E91" s="324"/>
      <c r="F91" s="324"/>
    </row>
    <row r="92" spans="1:6">
      <c r="A92" s="1230" t="s">
        <v>68</v>
      </c>
      <c r="B92" s="1231">
        <v>109.10789593343684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187</v>
      </c>
      <c r="C97" s="324"/>
      <c r="D97" s="324"/>
      <c r="E97" s="324"/>
      <c r="F97" s="324"/>
    </row>
    <row r="98" spans="1:6">
      <c r="A98" s="1235" t="s">
        <v>71</v>
      </c>
      <c r="B98" s="1236">
        <v>0</v>
      </c>
      <c r="C98" s="324"/>
      <c r="D98" s="324"/>
      <c r="E98" s="324"/>
      <c r="F98" s="324"/>
    </row>
    <row r="99" spans="1:6">
      <c r="A99" s="1235" t="s">
        <v>72</v>
      </c>
      <c r="B99" s="1236">
        <v>15</v>
      </c>
      <c r="C99" s="324"/>
      <c r="D99" s="324"/>
      <c r="E99" s="324"/>
      <c r="F99" s="324"/>
    </row>
    <row r="100" spans="1:6">
      <c r="A100" s="1235" t="s">
        <v>73</v>
      </c>
      <c r="B100" s="1236">
        <v>203</v>
      </c>
      <c r="C100" s="324"/>
      <c r="D100" s="324"/>
      <c r="E100" s="324"/>
      <c r="F100" s="324"/>
    </row>
    <row r="101" spans="1:6">
      <c r="A101" s="1235" t="s">
        <v>74</v>
      </c>
      <c r="B101" s="1236">
        <v>34</v>
      </c>
      <c r="C101" s="324"/>
      <c r="D101" s="324"/>
      <c r="E101" s="324"/>
      <c r="F101" s="324"/>
    </row>
    <row r="102" spans="1:6">
      <c r="A102" s="1235" t="s">
        <v>75</v>
      </c>
      <c r="B102" s="1236">
        <v>17</v>
      </c>
      <c r="C102" s="324"/>
      <c r="D102" s="324"/>
      <c r="E102" s="324"/>
      <c r="F102" s="324"/>
    </row>
    <row r="103" spans="1:6">
      <c r="A103" s="1235" t="s">
        <v>76</v>
      </c>
      <c r="B103" s="1236">
        <v>57</v>
      </c>
      <c r="C103" s="324"/>
      <c r="D103" s="324"/>
      <c r="E103" s="324"/>
      <c r="F103" s="324"/>
    </row>
    <row r="104" spans="1:6">
      <c r="A104" s="1235" t="s">
        <v>77</v>
      </c>
      <c r="B104" s="1236">
        <v>1941</v>
      </c>
      <c r="C104" s="324"/>
      <c r="D104" s="324"/>
      <c r="E104" s="324"/>
      <c r="F104" s="324"/>
    </row>
    <row r="105" spans="1:6">
      <c r="A105" s="1230" t="s">
        <v>78</v>
      </c>
      <c r="B105" s="123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5</v>
      </c>
      <c r="C123" s="1236">
        <v>0</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24</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6</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34910.439650711807</v>
      </c>
      <c r="C3" s="43" t="s">
        <v>163</v>
      </c>
      <c r="D3" s="43"/>
      <c r="E3" s="155"/>
      <c r="F3" s="43"/>
      <c r="G3" s="43"/>
      <c r="H3" s="43"/>
      <c r="I3" s="43"/>
      <c r="J3" s="43"/>
      <c r="K3" s="96"/>
    </row>
    <row r="4" spans="1:11">
      <c r="A4" s="350" t="s">
        <v>164</v>
      </c>
      <c r="B4" s="49">
        <f>IF(ISERROR('SEAP template'!B78+'SEAP template'!C78),0,'SEAP template'!B78+'SEAP template'!C78)</f>
        <v>1091.7889015525432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0.21408844719066172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691.37599999999998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691.37599999999998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0.21408844719066172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148.01561426489093</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13873.398999999999</v>
      </c>
      <c r="C5" s="17">
        <f>IF(ISERROR('Eigen informatie GS &amp; warmtenet'!B57),0,'Eigen informatie GS &amp; warmtenet'!B57)</f>
        <v>0</v>
      </c>
      <c r="D5" s="30">
        <f>(SUM(HH_hh_gas_kWh,HH_rest_gas_kWh)/1000)*0.902</f>
        <v>13077.609116000001</v>
      </c>
      <c r="E5" s="17">
        <f>B32*B41</f>
        <v>968.21425942867461</v>
      </c>
      <c r="F5" s="17">
        <f>B36*B45</f>
        <v>33049.408597063979</v>
      </c>
      <c r="G5" s="18"/>
      <c r="H5" s="17"/>
      <c r="I5" s="17"/>
      <c r="J5" s="17">
        <f>B35*B44+C35*C44</f>
        <v>744.18889186385945</v>
      </c>
      <c r="K5" s="17"/>
      <c r="L5" s="17"/>
      <c r="M5" s="17"/>
      <c r="N5" s="17">
        <f>B34*B43+C34*C43</f>
        <v>3688.8580795183821</v>
      </c>
      <c r="O5" s="17">
        <f>B52*B53*B54</f>
        <v>37.520000000000003</v>
      </c>
      <c r="P5" s="17">
        <f>B60*B61*B62/1000-B60*B61*B62/1000/B63</f>
        <v>209.73333333333335</v>
      </c>
    </row>
    <row r="6" spans="1:16">
      <c r="A6" s="16" t="s">
        <v>591</v>
      </c>
      <c r="B6" s="727">
        <f>kWh_PV_kleiner_dan_10kW</f>
        <v>982.68100561910626</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14856.080005619106</v>
      </c>
      <c r="C8" s="21">
        <f>C5</f>
        <v>0</v>
      </c>
      <c r="D8" s="21">
        <f>D5</f>
        <v>13077.609116000001</v>
      </c>
      <c r="E8" s="21">
        <f>E5</f>
        <v>968.21425942867461</v>
      </c>
      <c r="F8" s="21">
        <f>F5</f>
        <v>33049.408597063979</v>
      </c>
      <c r="G8" s="21"/>
      <c r="H8" s="21"/>
      <c r="I8" s="21"/>
      <c r="J8" s="21">
        <f>J5</f>
        <v>744.18889186385945</v>
      </c>
      <c r="K8" s="21"/>
      <c r="L8" s="21">
        <f>L5</f>
        <v>0</v>
      </c>
      <c r="M8" s="21">
        <f>M5</f>
        <v>0</v>
      </c>
      <c r="N8" s="21">
        <f>N5</f>
        <v>3688.8580795183821</v>
      </c>
      <c r="O8" s="21">
        <f>O5</f>
        <v>37.520000000000003</v>
      </c>
      <c r="P8" s="21">
        <f>P5</f>
        <v>209.73333333333335</v>
      </c>
    </row>
    <row r="9" spans="1:16">
      <c r="B9" s="19"/>
      <c r="C9" s="19"/>
      <c r="D9" s="255"/>
      <c r="E9" s="19"/>
      <c r="F9" s="19"/>
      <c r="G9" s="19"/>
      <c r="H9" s="19"/>
      <c r="I9" s="19"/>
      <c r="J9" s="19"/>
      <c r="K9" s="19"/>
      <c r="L9" s="19"/>
      <c r="M9" s="19"/>
      <c r="N9" s="19"/>
      <c r="O9" s="19"/>
      <c r="P9" s="19"/>
    </row>
    <row r="10" spans="1:16">
      <c r="A10" s="24" t="s">
        <v>207</v>
      </c>
      <c r="B10" s="25">
        <f ca="1">'EF ele_warmte'!B12</f>
        <v>0.21408844719066172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3180.5150997432315</v>
      </c>
      <c r="C12" s="23">
        <f ca="1">C10*C8</f>
        <v>0</v>
      </c>
      <c r="D12" s="23">
        <f>D8*D10</f>
        <v>2641.6770414320004</v>
      </c>
      <c r="E12" s="23">
        <f>E10*E8</f>
        <v>219.78463689030914</v>
      </c>
      <c r="F12" s="23">
        <f>F10*F8</f>
        <v>8824.1920954160832</v>
      </c>
      <c r="G12" s="23"/>
      <c r="H12" s="23"/>
      <c r="I12" s="23"/>
      <c r="J12" s="23">
        <f>J10*J8</f>
        <v>263.44286771980626</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2813</v>
      </c>
      <c r="C26" s="36"/>
      <c r="D26" s="225"/>
    </row>
    <row r="27" spans="1:5" s="15" customFormat="1">
      <c r="A27" s="227" t="s">
        <v>671</v>
      </c>
      <c r="B27" s="37">
        <f>SUM(HH_hh_gas_aantal,HH_rest_gas_aantal)</f>
        <v>838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796.1</v>
      </c>
      <c r="C31" s="34" t="s">
        <v>104</v>
      </c>
      <c r="D31" s="171"/>
    </row>
    <row r="32" spans="1:5">
      <c r="A32" s="168" t="s">
        <v>72</v>
      </c>
      <c r="B32" s="33">
        <f>IF((B21*($B$26-($B$27-0.05*$B$27)-$B$60))&lt;0,0,B21*($B$26-($B$27-0.05*$B$27)-$B$60))</f>
        <v>14.220965757678504</v>
      </c>
      <c r="C32" s="34" t="s">
        <v>104</v>
      </c>
      <c r="D32" s="171"/>
    </row>
    <row r="33" spans="1:6">
      <c r="A33" s="168" t="s">
        <v>73</v>
      </c>
      <c r="B33" s="33">
        <f>IF((B22*($B$26-($B$27-0.05*$B$27)-$B$60))&lt;0,0,B22*($B$26-($B$27-0.05*$B$27)-$B$60))</f>
        <v>407.57094378979286</v>
      </c>
      <c r="C33" s="34" t="s">
        <v>104</v>
      </c>
      <c r="D33" s="171"/>
    </row>
    <row r="34" spans="1:6">
      <c r="A34" s="168" t="s">
        <v>74</v>
      </c>
      <c r="B34" s="33">
        <f>IF((B24*($B$26-($B$27-0.05*$B$27)-$B$60))&lt;0,0,B24*($B$26-($B$27-0.05*$B$27)-$B$60))</f>
        <v>81.273953531476209</v>
      </c>
      <c r="C34" s="33">
        <f>B26*C24</f>
        <v>575.19553023548781</v>
      </c>
      <c r="D34" s="230"/>
    </row>
    <row r="35" spans="1:6">
      <c r="A35" s="168" t="s">
        <v>76</v>
      </c>
      <c r="B35" s="33">
        <f>IF((B19*($B$26-($B$27-0.05*$B$27)-$B$60))&lt;0,0,B19*($B$26-($B$27-0.05*$B$27)-$B$60))</f>
        <v>42.32430285023365</v>
      </c>
      <c r="C35" s="33">
        <f>B35/2</f>
        <v>21.162151425116825</v>
      </c>
      <c r="D35" s="230"/>
    </row>
    <row r="36" spans="1:6">
      <c r="A36" s="168" t="s">
        <v>77</v>
      </c>
      <c r="B36" s="33">
        <f>IF((B18*($B$26-($B$27-0.05*$B$27)-$B$60))&lt;0,0,B18*($B$26-($B$27-0.05*$B$27)-$B$60))</f>
        <v>1460.5098340708189</v>
      </c>
      <c r="C36" s="34" t="s">
        <v>104</v>
      </c>
      <c r="D36" s="171"/>
    </row>
    <row r="37" spans="1:6">
      <c r="A37" s="168" t="s">
        <v>78</v>
      </c>
      <c r="B37" s="33">
        <f>B60</f>
        <v>11</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11</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8697.82</v>
      </c>
      <c r="C5" s="17">
        <f>IF(ISERROR('Eigen informatie GS &amp; warmtenet'!B58),0,'Eigen informatie GS &amp; warmtenet'!B58)</f>
        <v>0</v>
      </c>
      <c r="D5" s="30">
        <f>SUM(D6:D12)</f>
        <v>2283.176676</v>
      </c>
      <c r="E5" s="17">
        <f>SUM(E6:E12)</f>
        <v>126.95552845475301</v>
      </c>
      <c r="F5" s="17">
        <f>SUM(F6:F12)</f>
        <v>1512.1761289707183</v>
      </c>
      <c r="G5" s="18"/>
      <c r="H5" s="17"/>
      <c r="I5" s="17"/>
      <c r="J5" s="17">
        <f>SUM(J6:J12)</f>
        <v>0</v>
      </c>
      <c r="K5" s="17"/>
      <c r="L5" s="17"/>
      <c r="M5" s="17"/>
      <c r="N5" s="17">
        <f>SUM(N6:N12)</f>
        <v>195.63251682314083</v>
      </c>
      <c r="O5" s="17">
        <f>B38*B39*B40</f>
        <v>0</v>
      </c>
      <c r="P5" s="17">
        <f>B46*B47*B48/1000-B46*B47*B48/1000/B49</f>
        <v>0</v>
      </c>
      <c r="R5" s="32"/>
    </row>
    <row r="6" spans="1:18">
      <c r="A6" s="32" t="s">
        <v>53</v>
      </c>
      <c r="B6" s="37">
        <f>B26</f>
        <v>1299.0170000000001</v>
      </c>
      <c r="C6" s="33"/>
      <c r="D6" s="37">
        <f>IF(ISERROR(TER_kantoor_gas_kWh/1000),0,TER_kantoor_gas_kWh/1000)*0.902</f>
        <v>749.12633400000004</v>
      </c>
      <c r="E6" s="33">
        <f>$C$26*'E Balans VL '!I12/100/3.6*1000000</f>
        <v>44.935610286511519</v>
      </c>
      <c r="F6" s="33">
        <f>$C$26*('E Balans VL '!L12+'E Balans VL '!N12)/100/3.6*1000000</f>
        <v>198.30873860951982</v>
      </c>
      <c r="G6" s="34"/>
      <c r="H6" s="33"/>
      <c r="I6" s="33"/>
      <c r="J6" s="33">
        <f>$C$26*('E Balans VL '!D12+'E Balans VL '!E12)/100/3.6*1000000</f>
        <v>0</v>
      </c>
      <c r="K6" s="33"/>
      <c r="L6" s="33"/>
      <c r="M6" s="33"/>
      <c r="N6" s="33">
        <f>$C$26*'E Balans VL '!Y12/100/3.6*1000000</f>
        <v>20.024964564741367</v>
      </c>
      <c r="O6" s="33"/>
      <c r="P6" s="33"/>
      <c r="R6" s="32"/>
    </row>
    <row r="7" spans="1:18">
      <c r="A7" s="32" t="s">
        <v>52</v>
      </c>
      <c r="B7" s="37">
        <f t="shared" ref="B7:B12" si="0">B27</f>
        <v>904.95600000000002</v>
      </c>
      <c r="C7" s="33"/>
      <c r="D7" s="37">
        <f>IF(ISERROR(TER_horeca_gas_kWh/1000),0,TER_horeca_gas_kWh/1000)*0.902</f>
        <v>417.34998800000005</v>
      </c>
      <c r="E7" s="33">
        <f>$C$27*'E Balans VL '!I9/100/3.6*1000000</f>
        <v>49.594464418112736</v>
      </c>
      <c r="F7" s="33">
        <f>$C$27*('E Balans VL '!L9+'E Balans VL '!N9)/100/3.6*1000000</f>
        <v>153.14882584193126</v>
      </c>
      <c r="G7" s="34"/>
      <c r="H7" s="33"/>
      <c r="I7" s="33"/>
      <c r="J7" s="33">
        <f>$C$27*('E Balans VL '!D9+'E Balans VL '!E9)/100/3.6*1000000</f>
        <v>0</v>
      </c>
      <c r="K7" s="33"/>
      <c r="L7" s="33"/>
      <c r="M7" s="33"/>
      <c r="N7" s="33">
        <f>$C$27*'E Balans VL '!Y9/100/3.6*1000000</f>
        <v>0</v>
      </c>
      <c r="O7" s="33"/>
      <c r="P7" s="33"/>
      <c r="R7" s="32"/>
    </row>
    <row r="8" spans="1:18">
      <c r="A8" s="6" t="s">
        <v>51</v>
      </c>
      <c r="B8" s="37">
        <f t="shared" si="0"/>
        <v>5388.8469999999998</v>
      </c>
      <c r="C8" s="33"/>
      <c r="D8" s="37">
        <f>IF(ISERROR(TER_handel_gas_kWh/1000),0,TER_handel_gas_kWh/1000)*0.902</f>
        <v>340.70073400000001</v>
      </c>
      <c r="E8" s="33">
        <f>$C$28*'E Balans VL '!I13/100/3.6*1000000</f>
        <v>27.263097115630345</v>
      </c>
      <c r="F8" s="33">
        <f>$C$28*('E Balans VL '!L13+'E Balans VL '!N13)/100/3.6*1000000</f>
        <v>818.79315428437428</v>
      </c>
      <c r="G8" s="34"/>
      <c r="H8" s="33"/>
      <c r="I8" s="33"/>
      <c r="J8" s="33">
        <f>$C$28*('E Balans VL '!D13+'E Balans VL '!E13)/100/3.6*1000000</f>
        <v>0</v>
      </c>
      <c r="K8" s="33"/>
      <c r="L8" s="33"/>
      <c r="M8" s="33"/>
      <c r="N8" s="33">
        <f>$C$28*'E Balans VL '!Y13/100/3.6*1000000</f>
        <v>2.5199691127662471</v>
      </c>
      <c r="O8" s="33"/>
      <c r="P8" s="33"/>
      <c r="R8" s="32"/>
    </row>
    <row r="9" spans="1:18">
      <c r="A9" s="32" t="s">
        <v>50</v>
      </c>
      <c r="B9" s="37">
        <f t="shared" si="0"/>
        <v>217.749</v>
      </c>
      <c r="C9" s="33"/>
      <c r="D9" s="37">
        <f>IF(ISERROR(TER_gezond_gas_kWh/1000),0,TER_gezond_gas_kWh/1000)*0.902</f>
        <v>451.62598800000001</v>
      </c>
      <c r="E9" s="33">
        <f>$C$29*'E Balans VL '!I10/100/3.6*1000000</f>
        <v>7.9183478656728923E-2</v>
      </c>
      <c r="F9" s="33">
        <f>$C$29*('E Balans VL '!L10+'E Balans VL '!N10)/100/3.6*1000000</f>
        <v>47.04967485249076</v>
      </c>
      <c r="G9" s="34"/>
      <c r="H9" s="33"/>
      <c r="I9" s="33"/>
      <c r="J9" s="33">
        <f>$C$29*('E Balans VL '!D10+'E Balans VL '!E10)/100/3.6*1000000</f>
        <v>0</v>
      </c>
      <c r="K9" s="33"/>
      <c r="L9" s="33"/>
      <c r="M9" s="33"/>
      <c r="N9" s="33">
        <f>$C$29*'E Balans VL '!Y10/100/3.6*1000000</f>
        <v>1.6510325762211697</v>
      </c>
      <c r="O9" s="33"/>
      <c r="P9" s="33"/>
      <c r="R9" s="32"/>
    </row>
    <row r="10" spans="1:18">
      <c r="A10" s="32" t="s">
        <v>49</v>
      </c>
      <c r="B10" s="37">
        <f t="shared" si="0"/>
        <v>821.61699999999996</v>
      </c>
      <c r="C10" s="33"/>
      <c r="D10" s="37">
        <f>IF(ISERROR(TER_ander_gas_kWh/1000),0,TER_ander_gas_kWh/1000)*0.902</f>
        <v>209.54813000000001</v>
      </c>
      <c r="E10" s="33">
        <f>$C$30*'E Balans VL '!I14/100/3.6*1000000</f>
        <v>5.0017156792519275</v>
      </c>
      <c r="F10" s="33">
        <f>$C$30*('E Balans VL '!L14+'E Balans VL '!N14)/100/3.6*1000000</f>
        <v>217.52263000569769</v>
      </c>
      <c r="G10" s="34"/>
      <c r="H10" s="33"/>
      <c r="I10" s="33"/>
      <c r="J10" s="33">
        <f>$C$30*('E Balans VL '!D14+'E Balans VL '!E14)/100/3.6*1000000</f>
        <v>0</v>
      </c>
      <c r="K10" s="33"/>
      <c r="L10" s="33"/>
      <c r="M10" s="33"/>
      <c r="N10" s="33">
        <f>$C$30*'E Balans VL '!Y14/100/3.6*1000000</f>
        <v>171.12151349941388</v>
      </c>
      <c r="O10" s="33"/>
      <c r="P10" s="33"/>
      <c r="R10" s="32"/>
    </row>
    <row r="11" spans="1:18">
      <c r="A11" s="32" t="s">
        <v>54</v>
      </c>
      <c r="B11" s="37">
        <f t="shared" si="0"/>
        <v>65.634</v>
      </c>
      <c r="C11" s="33"/>
      <c r="D11" s="37">
        <f>IF(ISERROR(TER_onderwijs_gas_kWh/1000),0,TER_onderwijs_gas_kWh/1000)*0.902</f>
        <v>114.825502</v>
      </c>
      <c r="E11" s="33">
        <f>$C$31*'E Balans VL '!I11/100/3.6*1000000</f>
        <v>8.1457476589746031E-2</v>
      </c>
      <c r="F11" s="33">
        <f>$C$31*('E Balans VL '!L11+'E Balans VL '!N11)/100/3.6*1000000</f>
        <v>77.353105376704448</v>
      </c>
      <c r="G11" s="34"/>
      <c r="H11" s="33"/>
      <c r="I11" s="33"/>
      <c r="J11" s="33">
        <f>$C$31*('E Balans VL '!D11+'E Balans VL '!E11)/100/3.6*1000000</f>
        <v>0</v>
      </c>
      <c r="K11" s="33"/>
      <c r="L11" s="33"/>
      <c r="M11" s="33"/>
      <c r="N11" s="33">
        <f>$C$31*'E Balans VL '!Y11/100/3.6*1000000</f>
        <v>0.31503706999817294</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8697.82</v>
      </c>
      <c r="C16" s="21">
        <f ca="1">C5+C13+C14</f>
        <v>0</v>
      </c>
      <c r="D16" s="21">
        <f t="shared" ref="D16:N16" ca="1" si="1">MAX((D5+D13+D14),0)</f>
        <v>2283.176676</v>
      </c>
      <c r="E16" s="21">
        <f t="shared" si="1"/>
        <v>126.95552845475301</v>
      </c>
      <c r="F16" s="21">
        <f t="shared" ca="1" si="1"/>
        <v>1512.1761289707183</v>
      </c>
      <c r="G16" s="21">
        <f t="shared" si="1"/>
        <v>0</v>
      </c>
      <c r="H16" s="21">
        <f t="shared" si="1"/>
        <v>0</v>
      </c>
      <c r="I16" s="21">
        <f t="shared" si="1"/>
        <v>0</v>
      </c>
      <c r="J16" s="21">
        <f t="shared" si="1"/>
        <v>0</v>
      </c>
      <c r="K16" s="21">
        <f t="shared" si="1"/>
        <v>0</v>
      </c>
      <c r="L16" s="21">
        <f t="shared" ca="1" si="1"/>
        <v>0</v>
      </c>
      <c r="M16" s="21">
        <f t="shared" si="1"/>
        <v>0</v>
      </c>
      <c r="N16" s="21">
        <f t="shared" ca="1" si="1"/>
        <v>195.63251682314083</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0.21408844719066172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1862.1027777438812</v>
      </c>
      <c r="C20" s="23">
        <f t="shared" ref="C20:P20" ca="1" si="2">C16*C18</f>
        <v>0</v>
      </c>
      <c r="D20" s="23">
        <f t="shared" ca="1" si="2"/>
        <v>461.20168855200006</v>
      </c>
      <c r="E20" s="23">
        <f t="shared" si="2"/>
        <v>28.818904959228934</v>
      </c>
      <c r="F20" s="23">
        <f t="shared" ca="1" si="2"/>
        <v>403.75102643518181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1299.0170000000001</v>
      </c>
      <c r="C26" s="39">
        <f>IF(ISERROR(B26*3.6/1000000/'E Balans VL '!Z12*100),0,B26*3.6/1000000/'E Balans VL '!Z12*100)</f>
        <v>2.7013975207005929E-2</v>
      </c>
      <c r="D26" s="233" t="s">
        <v>676</v>
      </c>
      <c r="F26" s="6"/>
    </row>
    <row r="27" spans="1:18">
      <c r="A27" s="228" t="s">
        <v>52</v>
      </c>
      <c r="B27" s="33">
        <f>IF(ISERROR(TER_horeca_ele_kWh/1000),0,TER_horeca_ele_kWh/1000)</f>
        <v>904.95600000000002</v>
      </c>
      <c r="C27" s="39">
        <f>IF(ISERROR(B27*3.6/1000000/'E Balans VL '!Z9*100),0,B27*3.6/1000000/'E Balans VL '!Z9*100)</f>
        <v>7.4433273201933076E-2</v>
      </c>
      <c r="D27" s="233" t="s">
        <v>676</v>
      </c>
      <c r="F27" s="6"/>
    </row>
    <row r="28" spans="1:18">
      <c r="A28" s="168" t="s">
        <v>51</v>
      </c>
      <c r="B28" s="33">
        <f>IF(ISERROR(TER_handel_ele_kWh/1000),0,TER_handel_ele_kWh/1000)</f>
        <v>5388.8469999999998</v>
      </c>
      <c r="C28" s="39">
        <f>IF(ISERROR(B28*3.6/1000000/'E Balans VL '!Z13*100),0,B28*3.6/1000000/'E Balans VL '!Z13*100)</f>
        <v>0.14916223146865909</v>
      </c>
      <c r="D28" s="233" t="s">
        <v>676</v>
      </c>
      <c r="F28" s="6"/>
    </row>
    <row r="29" spans="1:18">
      <c r="A29" s="228" t="s">
        <v>50</v>
      </c>
      <c r="B29" s="33">
        <f>IF(ISERROR(TER_gezond_ele_kWh/1000),0,TER_gezond_ele_kWh/1000)</f>
        <v>217.749</v>
      </c>
      <c r="C29" s="39">
        <f>IF(ISERROR(B29*3.6/1000000/'E Balans VL '!Z10*100),0,B29*3.6/1000000/'E Balans VL '!Z10*100)</f>
        <v>2.4832692946360063E-2</v>
      </c>
      <c r="D29" s="233" t="s">
        <v>676</v>
      </c>
      <c r="F29" s="6"/>
    </row>
    <row r="30" spans="1:18">
      <c r="A30" s="228" t="s">
        <v>49</v>
      </c>
      <c r="B30" s="33">
        <f>IF(ISERROR(TER_ander_ele_kWh/1000),0,TER_ander_ele_kWh/1000)</f>
        <v>821.61699999999996</v>
      </c>
      <c r="C30" s="39">
        <f>IF(ISERROR(B30*3.6/1000000/'E Balans VL '!Z14*100),0,B30*3.6/1000000/'E Balans VL '!Z14*100)</f>
        <v>6.3595384457164228E-2</v>
      </c>
      <c r="D30" s="233" t="s">
        <v>676</v>
      </c>
      <c r="F30" s="6"/>
    </row>
    <row r="31" spans="1:18">
      <c r="A31" s="228" t="s">
        <v>54</v>
      </c>
      <c r="B31" s="33">
        <f>IF(ISERROR(TER_onderwijs_ele_kWh/1000),0,TER_onderwijs_ele_kWh/1000)</f>
        <v>65.634</v>
      </c>
      <c r="C31" s="39">
        <f>IF(ISERROR(B31*3.6/1000000/'E Balans VL '!Z11*100),0,B31*3.6/1000000/'E Balans VL '!Z11*100)</f>
        <v>2.045031288530821E-2</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4006.8470000000002</v>
      </c>
      <c r="C5" s="17">
        <f>IF(ISERROR('Eigen informatie GS &amp; warmtenet'!B59),0,'Eigen informatie GS &amp; warmtenet'!B59)</f>
        <v>0</v>
      </c>
      <c r="D5" s="30">
        <f>SUM(D6:D15)</f>
        <v>2642.3476639999999</v>
      </c>
      <c r="E5" s="17">
        <f>SUM(E6:E15)</f>
        <v>64.794135872580583</v>
      </c>
      <c r="F5" s="17">
        <f>SUM(F6:F15)</f>
        <v>1724.8415161904595</v>
      </c>
      <c r="G5" s="18"/>
      <c r="H5" s="17"/>
      <c r="I5" s="17"/>
      <c r="J5" s="17">
        <f>SUM(J6:J15)</f>
        <v>26.007932492244734</v>
      </c>
      <c r="K5" s="17"/>
      <c r="L5" s="17"/>
      <c r="M5" s="17"/>
      <c r="N5" s="17">
        <f>SUM(N6:N15)</f>
        <v>147.09438262264499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946.23199999999997</v>
      </c>
      <c r="C8" s="33"/>
      <c r="D8" s="37">
        <f>IF( ISERROR(IND_metaal_Gas_kWH/1000),0,IND_metaal_Gas_kWH/1000)*0.902</f>
        <v>0</v>
      </c>
      <c r="E8" s="33">
        <f>C30*'E Balans VL '!I18/100/3.6*1000000</f>
        <v>6.6489634873793619</v>
      </c>
      <c r="F8" s="33">
        <f>C30*'E Balans VL '!L18/100/3.6*1000000+C30*'E Balans VL '!N18/100/3.6*1000000</f>
        <v>103.89073759789942</v>
      </c>
      <c r="G8" s="34"/>
      <c r="H8" s="33"/>
      <c r="I8" s="33"/>
      <c r="J8" s="40">
        <f>C30*'E Balans VL '!D18/100/3.6*1000000+C30*'E Balans VL '!E18/100/3.6*1000000</f>
        <v>19.52280566066759</v>
      </c>
      <c r="K8" s="33"/>
      <c r="L8" s="33"/>
      <c r="M8" s="33"/>
      <c r="N8" s="33">
        <f>C30*'E Balans VL '!Y18/100/3.6*1000000</f>
        <v>3.5465456835555433</v>
      </c>
      <c r="O8" s="33"/>
      <c r="P8" s="33"/>
      <c r="R8" s="32"/>
    </row>
    <row r="9" spans="1:18">
      <c r="A9" s="6" t="s">
        <v>32</v>
      </c>
      <c r="B9" s="37">
        <f t="shared" si="0"/>
        <v>1905.1590000000001</v>
      </c>
      <c r="C9" s="33"/>
      <c r="D9" s="37">
        <f>IF( ISERROR(IND_andere_gas_kWh/1000),0,IND_andere_gas_kWh/1000)*0.902</f>
        <v>1307.0232559999999</v>
      </c>
      <c r="E9" s="33">
        <f>C31*'E Balans VL '!I19/100/3.6*1000000</f>
        <v>31.999479299292098</v>
      </c>
      <c r="F9" s="33">
        <f>C31*'E Balans VL '!L19/100/3.6*1000000+C31*'E Balans VL '!N19/100/3.6*1000000</f>
        <v>1489.3447964455204</v>
      </c>
      <c r="G9" s="34"/>
      <c r="H9" s="33"/>
      <c r="I9" s="33"/>
      <c r="J9" s="40">
        <f>C31*'E Balans VL '!D19/100/3.6*1000000+C31*'E Balans VL '!E19/100/3.6*1000000</f>
        <v>0.17182852422818518</v>
      </c>
      <c r="K9" s="33"/>
      <c r="L9" s="33"/>
      <c r="M9" s="33"/>
      <c r="N9" s="33">
        <f>C31*'E Balans VL '!Y19/100/3.6*1000000</f>
        <v>141.2028474852444</v>
      </c>
      <c r="O9" s="33"/>
      <c r="P9" s="33"/>
      <c r="R9" s="32"/>
    </row>
    <row r="10" spans="1:18">
      <c r="A10" s="6" t="s">
        <v>40</v>
      </c>
      <c r="B10" s="37">
        <f t="shared" si="0"/>
        <v>160.29499999999999</v>
      </c>
      <c r="C10" s="33"/>
      <c r="D10" s="37">
        <f>IF( ISERROR(IND_voed_gas_kWh/1000),0,IND_voed_gas_kWh/1000)*0.902</f>
        <v>0</v>
      </c>
      <c r="E10" s="33">
        <f>C32*'E Balans VL '!I20/100/3.6*1000000</f>
        <v>1.4624649694159526</v>
      </c>
      <c r="F10" s="33">
        <f>C32*'E Balans VL '!L20/100/3.6*1000000+C32*'E Balans VL '!N20/100/3.6*1000000</f>
        <v>25.860597234186066</v>
      </c>
      <c r="G10" s="34"/>
      <c r="H10" s="33"/>
      <c r="I10" s="33"/>
      <c r="J10" s="40">
        <f>C32*'E Balans VL '!D20/100/3.6*1000000+C32*'E Balans VL '!E20/100/3.6*1000000</f>
        <v>0.66019990448910726</v>
      </c>
      <c r="K10" s="33"/>
      <c r="L10" s="33"/>
      <c r="M10" s="33"/>
      <c r="N10" s="33">
        <f>C32*'E Balans VL '!Y20/100/3.6*1000000</f>
        <v>2.3449894538450575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995.16099999999994</v>
      </c>
      <c r="C12" s="33"/>
      <c r="D12" s="37">
        <f>IF( ISERROR(IND_min_gas_kWh/1000),0,IND_min_gas_kWh/1000)*0.902</f>
        <v>0</v>
      </c>
      <c r="E12" s="33">
        <f>C34*'E Balans VL '!I22/100/3.6*1000000</f>
        <v>24.683228116493169</v>
      </c>
      <c r="F12" s="33">
        <f>C34*'E Balans VL '!L22/100/3.6*1000000+C34*'E Balans VL '!N22/100/3.6*1000000</f>
        <v>105.74538491285342</v>
      </c>
      <c r="G12" s="34"/>
      <c r="H12" s="33"/>
      <c r="I12" s="33"/>
      <c r="J12" s="40">
        <f>C34*'E Balans VL '!D22/100/3.6*1000000+C34*'E Balans VL '!E22/100/3.6*1000000</f>
        <v>5.6530984028598494</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ISERROR(IND_rest_gas_kWh/1000),0,IND_rest_gas_kWh/1000)*0.902</f>
        <v>1335.3244079999999</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4006.8470000000002</v>
      </c>
      <c r="C18" s="21">
        <f>C5+C16</f>
        <v>0</v>
      </c>
      <c r="D18" s="21">
        <f>MAX((D5+D16),0)</f>
        <v>2642.3476639999999</v>
      </c>
      <c r="E18" s="21">
        <f>MAX((E5+E16),0)</f>
        <v>64.794135872580583</v>
      </c>
      <c r="F18" s="21">
        <f>MAX((F5+F16),0)</f>
        <v>1724.8415161904595</v>
      </c>
      <c r="G18" s="21"/>
      <c r="H18" s="21"/>
      <c r="I18" s="21"/>
      <c r="J18" s="21">
        <f>MAX((J5+J16),0)</f>
        <v>26.007932492244734</v>
      </c>
      <c r="K18" s="21"/>
      <c r="L18" s="21">
        <f>MAX((L5+L16),0)</f>
        <v>0</v>
      </c>
      <c r="M18" s="21"/>
      <c r="N18" s="21">
        <f>MAX((N5+N16),0)</f>
        <v>147.09438262264499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0.21408844719066172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857.81965236056135</v>
      </c>
      <c r="C22" s="23">
        <f ca="1">C18*C20</f>
        <v>0</v>
      </c>
      <c r="D22" s="23">
        <f>D18*D20</f>
        <v>533.75422812800002</v>
      </c>
      <c r="E22" s="23">
        <f>E18*E20</f>
        <v>14.708268843075793</v>
      </c>
      <c r="F22" s="23">
        <f>F18*F20</f>
        <v>460.53268482285273</v>
      </c>
      <c r="G22" s="23"/>
      <c r="H22" s="23"/>
      <c r="I22" s="23"/>
      <c r="J22" s="23">
        <f>J18*J20</f>
        <v>9.2068081022546355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946.23199999999997</v>
      </c>
      <c r="C30" s="39">
        <f>IF(ISERROR(B30*3.6/1000000/'E Balans VL '!Z18*100),0,B30*3.6/1000000/'E Balans VL '!Z18*100)</f>
        <v>6.2991242057679295E-2</v>
      </c>
      <c r="D30" s="233" t="s">
        <v>676</v>
      </c>
    </row>
    <row r="31" spans="1:18">
      <c r="A31" s="6" t="s">
        <v>32</v>
      </c>
      <c r="B31" s="37">
        <f>IF( ISERROR(IND_ander_ele_kWh/1000),0,IND_ander_ele_kWh/1000)</f>
        <v>1905.1590000000001</v>
      </c>
      <c r="C31" s="39">
        <f>IF(ISERROR(B31*3.6/1000000/'E Balans VL '!Z19*100),0,B31*3.6/1000000/'E Balans VL '!Z19*100)</f>
        <v>8.4448148426138805E-2</v>
      </c>
      <c r="D31" s="233" t="s">
        <v>676</v>
      </c>
    </row>
    <row r="32" spans="1:18">
      <c r="A32" s="168" t="s">
        <v>40</v>
      </c>
      <c r="B32" s="37">
        <f>IF( ISERROR(IND_voed_ele_kWh/1000),0,IND_voed_ele_kWh/1000)</f>
        <v>160.29499999999999</v>
      </c>
      <c r="C32" s="39">
        <f>IF(ISERROR(B32*3.6/1000000/'E Balans VL '!Z20*100),0,B32*3.6/1000000/'E Balans VL '!Z20*100)</f>
        <v>5.3543128268417764E-3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995.16099999999994</v>
      </c>
      <c r="C34" s="39">
        <f>IF(ISERROR(B34*3.6/1000000/'E Balans VL '!Z22*100),0,B34*3.6/1000000/'E Balans VL '!Z22*100)</f>
        <v>0.19354788327778324</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0</v>
      </c>
      <c r="C37" s="39">
        <f>IF(ISERROR(B37*3.6/1000000/'E Balans VL '!Z15*100),0,B37*3.6/1000000/'E Balans VL '!Z15*100)</f>
        <v>0</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145.99</v>
      </c>
      <c r="C5" s="17">
        <f>'Eigen informatie GS &amp; warmtenet'!B60</f>
        <v>0</v>
      </c>
      <c r="D5" s="30">
        <f>IF(ISERROR(SUM(LB_lb_gas_kWh,LB_rest_gas_kWh)/1000),0,SUM(LB_lb_gas_kWh,LB_rest_gas_kWh)/1000)*0.902</f>
        <v>36.315422000000005</v>
      </c>
      <c r="E5" s="17">
        <f>B17*'E Balans VL '!I25/3.6*1000000/100</f>
        <v>1.3155551449828806</v>
      </c>
      <c r="F5" s="17">
        <f>B17*('E Balans VL '!L25/3.6*1000000+'E Balans VL '!N25/3.6*1000000)/100</f>
        <v>547.02898254755939</v>
      </c>
      <c r="G5" s="18"/>
      <c r="H5" s="17"/>
      <c r="I5" s="17"/>
      <c r="J5" s="17">
        <f>('E Balans VL '!D25+'E Balans VL '!E25)/3.6*1000000*landbouw!B17/100</f>
        <v>14.773584202220006</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145.99</v>
      </c>
      <c r="C8" s="21">
        <f>C5+C6</f>
        <v>0</v>
      </c>
      <c r="D8" s="21">
        <f>MAX((D5+D6),0)</f>
        <v>36.315422000000005</v>
      </c>
      <c r="E8" s="21">
        <f>MAX((E5+E6),0)</f>
        <v>1.3155551449828806</v>
      </c>
      <c r="F8" s="21">
        <f>MAX((F5+F6),0)</f>
        <v>547.02898254755939</v>
      </c>
      <c r="G8" s="21"/>
      <c r="H8" s="21"/>
      <c r="I8" s="21"/>
      <c r="J8" s="21">
        <f>MAX((J5+J6),0)</f>
        <v>14.773584202220006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0.21408844719066172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31.254772405364708</v>
      </c>
      <c r="C12" s="23">
        <f ca="1">C8*C10</f>
        <v>0</v>
      </c>
      <c r="D12" s="23">
        <f>D8*D10</f>
        <v>7.3357152440000011</v>
      </c>
      <c r="E12" s="23">
        <f>E8*E10</f>
        <v>0.29863101791111391</v>
      </c>
      <c r="F12" s="23">
        <f>F8*F10</f>
        <v>146.05673834019836</v>
      </c>
      <c r="G12" s="23"/>
      <c r="H12" s="23"/>
      <c r="I12" s="23"/>
      <c r="J12" s="23">
        <f>J8*J10</f>
        <v>5.2298488075858813</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2.2470679127785609E-2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23.623306818727904</v>
      </c>
      <c r="C26" s="243">
        <f>B26*'GWP N2O_CH4'!B5</f>
        <v>496.089443193286</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6.0209765689687016</v>
      </c>
      <c r="C27" s="243">
        <f>B27*'GWP N2O_CH4'!B5</f>
        <v>126.44050794834273</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0.4329449188713258</v>
      </c>
      <c r="C28" s="243">
        <f>B28*'GWP N2O_CH4'!B4</f>
        <v>134.21292485011099</v>
      </c>
      <c r="D28" s="50"/>
    </row>
    <row r="29" spans="1:4">
      <c r="A29" s="41" t="s">
        <v>266</v>
      </c>
      <c r="B29" s="243">
        <f>B34*'ha_N2O bodem landbouw'!B4</f>
        <v>1.6436223636067611</v>
      </c>
      <c r="C29" s="243">
        <f>B29*'GWP N2O_CH4'!B4</f>
        <v>509.52293271809594</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4.2673534082325723E-4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3.4245647774565599E-6</v>
      </c>
      <c r="C5" s="431" t="s">
        <v>204</v>
      </c>
      <c r="D5" s="416">
        <f>SUM(D6:D11)</f>
        <v>1.1401385644169134E-5</v>
      </c>
      <c r="E5" s="416">
        <f>SUM(E6:E11)</f>
        <v>1.2242913301794803E-3</v>
      </c>
      <c r="F5" s="429" t="s">
        <v>204</v>
      </c>
      <c r="G5" s="416">
        <f>SUM(G6:G11)</f>
        <v>0.21617405734435274</v>
      </c>
      <c r="H5" s="416">
        <f>SUM(H6:H11)</f>
        <v>3.9737301962983279E-2</v>
      </c>
      <c r="I5" s="431" t="s">
        <v>204</v>
      </c>
      <c r="J5" s="431" t="s">
        <v>204</v>
      </c>
      <c r="K5" s="431" t="s">
        <v>204</v>
      </c>
      <c r="L5" s="431" t="s">
        <v>204</v>
      </c>
      <c r="M5" s="416">
        <f>SUM(M6:M11)</f>
        <v>1.1141512382484195E-2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2.1119390655323566E-6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6.666286800759933E-6</v>
      </c>
      <c r="E6" s="419">
        <f>vkm_GW_PW*SUMIFS(TableVerdeelsleutelVkm[LPG],TableVerdeelsleutelVkm[Voertuigtype],"Lichte voertuigen")*SUMIFS(TableECFTransport[EnergieConsumptieFactor (PJ per km)],TableECFTransport[Index],CONCATENATE($A6,"_LPG_LPG"))</f>
        <v>6.9235029754983253E-4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9.2416643495239287E-2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2.3211078296632409E-2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5.0495245756053669E-3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4.9147299316138401E-8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2.21543998008738E-2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6.5187889113142271E-7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9.5442315161660797E-4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4.6745055347772893E-7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2.5025646694965646E-6</v>
      </c>
      <c r="E8" s="419">
        <f>vkm_NGW_PW*SUMIFS(TableVerdeelsleutelVkm[LPG],TableVerdeelsleutelVkm[Voertuigtype],"Lichte voertuigen")*SUMIFS(TableECFTransport[EnergieConsumptieFactor (PJ per km)],TableECFTransport[Index],CONCATENATE($A8,"_LPG_LPG"))</f>
        <v>2.446260507810519E-4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3.1062581243155109E-2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8.2296159120403192E-3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1.7169191421630265E-3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3.6726001803508733E-10</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2.2931528219792479E-4</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5.8797296487565021E-9</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9.8789825738393707E-6</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7.1591005656230669E-7</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2.2325341739126365E-6</v>
      </c>
      <c r="E10" s="419">
        <f>vkm_SW_PW*SUMIFS(TableVerdeelsleutelVkm[LPG],TableVerdeelsleutelVkm[Voertuigtype],"Lichte voertuigen")*SUMIFS(TableECFTransport[EnergieConsumptieFactor (PJ per km)],TableECFTransport[Index],CONCATENATE($A10,"_LPG_LPG"))</f>
        <v>2.873149818485958E-4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3.5622757469749917E-2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8.294861237723293E-3</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1.9163706706707482E-3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7.9750542549994682E-8</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3.4688360053136719E-2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1.088757966476674E-6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1.4943958598546048E-3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0.95126799373793336</v>
      </c>
      <c r="C14" s="21"/>
      <c r="D14" s="21">
        <f t="shared" ref="D14:M14" si="0">((D5)*10^9/3600)+D12</f>
        <v>3.1670515678247591</v>
      </c>
      <c r="E14" s="21">
        <f t="shared" si="0"/>
        <v>340.08092504985564</v>
      </c>
      <c r="F14" s="21"/>
      <c r="G14" s="21">
        <f t="shared" si="0"/>
        <v>60048.349262320211</v>
      </c>
      <c r="H14" s="21">
        <f t="shared" si="0"/>
        <v>11038.139434162022</v>
      </c>
      <c r="I14" s="21"/>
      <c r="J14" s="21"/>
      <c r="K14" s="21"/>
      <c r="L14" s="21"/>
      <c r="M14" s="21">
        <f t="shared" si="0"/>
        <v>3094.8645506900539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0.21408844719066172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0.20365548764153027</v>
      </c>
      <c r="C18" s="23"/>
      <c r="D18" s="23">
        <f t="shared" ref="D18:M18" si="1">D14*D16</f>
        <v>0.63974441670060134</v>
      </c>
      <c r="E18" s="23">
        <f t="shared" si="1"/>
        <v>77.198369986317232</v>
      </c>
      <c r="F18" s="23"/>
      <c r="G18" s="23">
        <f t="shared" si="1"/>
        <v>16032.909253039497</v>
      </c>
      <c r="H18" s="23">
        <f t="shared" si="1"/>
        <v>2748.4967191063433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2.112255755629089E-5</v>
      </c>
      <c r="C50" s="313">
        <f t="shared" ref="C50:P50" si="2">SUM(C51:C52)</f>
        <v>0</v>
      </c>
      <c r="D50" s="313">
        <f t="shared" si="2"/>
        <v>0</v>
      </c>
      <c r="E50" s="313">
        <f t="shared" si="2"/>
        <v>0</v>
      </c>
      <c r="F50" s="313">
        <f t="shared" si="2"/>
        <v>0</v>
      </c>
      <c r="G50" s="313">
        <f t="shared" si="2"/>
        <v>4.5823267943513627E-3</v>
      </c>
      <c r="H50" s="313">
        <f t="shared" si="2"/>
        <v>0</v>
      </c>
      <c r="I50" s="313">
        <f t="shared" si="2"/>
        <v>0</v>
      </c>
      <c r="J50" s="313">
        <f t="shared" si="2"/>
        <v>0</v>
      </c>
      <c r="K50" s="313">
        <f t="shared" si="2"/>
        <v>0</v>
      </c>
      <c r="L50" s="313">
        <f t="shared" si="2"/>
        <v>0</v>
      </c>
      <c r="M50" s="313">
        <f t="shared" si="2"/>
        <v>1.961976314757818E-4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2.112255755629089E-5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4.5823267943513627E-3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1.961976314757818E-4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5.8673770989696914</v>
      </c>
      <c r="C54" s="21">
        <f t="shared" ref="C54:P54" si="3">(C50)*10^9/3600</f>
        <v>0</v>
      </c>
      <c r="D54" s="21">
        <f t="shared" si="3"/>
        <v>0</v>
      </c>
      <c r="E54" s="21">
        <f t="shared" si="3"/>
        <v>0</v>
      </c>
      <c r="F54" s="21">
        <f t="shared" si="3"/>
        <v>0</v>
      </c>
      <c r="G54" s="21">
        <f t="shared" si="3"/>
        <v>1272.8685539864896</v>
      </c>
      <c r="H54" s="21">
        <f t="shared" si="3"/>
        <v>0</v>
      </c>
      <c r="I54" s="21">
        <f t="shared" si="3"/>
        <v>0</v>
      </c>
      <c r="J54" s="21">
        <f t="shared" si="3"/>
        <v>0</v>
      </c>
      <c r="K54" s="21">
        <f t="shared" si="3"/>
        <v>0</v>
      </c>
      <c r="L54" s="21">
        <f t="shared" si="3"/>
        <v>0</v>
      </c>
      <c r="M54" s="21">
        <f t="shared" si="3"/>
        <v>54.499342076606055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0.21408844719066172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1.2561376522004708</v>
      </c>
      <c r="C58" s="23">
        <f t="shared" ref="C58:P58" ca="1" si="4">C54*C56</f>
        <v>0</v>
      </c>
      <c r="D58" s="23">
        <f t="shared" si="4"/>
        <v>0</v>
      </c>
      <c r="E58" s="23">
        <f t="shared" si="4"/>
        <v>0</v>
      </c>
      <c r="F58" s="23">
        <f t="shared" si="4"/>
        <v>0</v>
      </c>
      <c r="G58" s="23">
        <f t="shared" si="4"/>
        <v>339.85590391439274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1091.7889015525432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1091.7889015525432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9389.1959999999999</v>
      </c>
      <c r="D10" s="635">
        <f ca="1">tertiair!C16</f>
        <v>0</v>
      </c>
      <c r="E10" s="635">
        <f ca="1">tertiair!D16</f>
        <v>2283.176676</v>
      </c>
      <c r="F10" s="635">
        <f>tertiair!E16</f>
        <v>126.95552845475301</v>
      </c>
      <c r="G10" s="635">
        <f ca="1">tertiair!F16</f>
        <v>1512.1761289707183</v>
      </c>
      <c r="H10" s="635">
        <f>tertiair!G16</f>
        <v>0</v>
      </c>
      <c r="I10" s="635">
        <f>tertiair!H16</f>
        <v>0</v>
      </c>
      <c r="J10" s="635">
        <f>tertiair!I16</f>
        <v>0</v>
      </c>
      <c r="K10" s="635">
        <f>tertiair!J16</f>
        <v>0</v>
      </c>
      <c r="L10" s="635">
        <f>tertiair!K16</f>
        <v>0</v>
      </c>
      <c r="M10" s="635">
        <f ca="1">tertiair!L16</f>
        <v>0</v>
      </c>
      <c r="N10" s="635">
        <f>tertiair!M16</f>
        <v>0</v>
      </c>
      <c r="O10" s="635">
        <f ca="1">tertiair!N16</f>
        <v>195.63251682314083</v>
      </c>
      <c r="P10" s="635">
        <f>tertiair!O16</f>
        <v>0</v>
      </c>
      <c r="Q10" s="636">
        <f>tertiair!P16</f>
        <v>0</v>
      </c>
      <c r="R10" s="638">
        <f ca="1">SUM(C10:Q10)</f>
        <v>13507.136850248611</v>
      </c>
      <c r="S10" s="67"/>
    </row>
    <row r="11" spans="1:19" s="441" customFormat="1">
      <c r="A11" s="749" t="s">
        <v>214</v>
      </c>
      <c r="B11" s="754"/>
      <c r="C11" s="635">
        <f>huishoudens!B8</f>
        <v>14856.080005619106</v>
      </c>
      <c r="D11" s="635">
        <f>huishoudens!C8</f>
        <v>0</v>
      </c>
      <c r="E11" s="635">
        <f>huishoudens!D8</f>
        <v>13077.609116000001</v>
      </c>
      <c r="F11" s="635">
        <f>huishoudens!E8</f>
        <v>968.21425942867461</v>
      </c>
      <c r="G11" s="635">
        <f>huishoudens!F8</f>
        <v>33049.408597063979</v>
      </c>
      <c r="H11" s="635">
        <f>huishoudens!G8</f>
        <v>0</v>
      </c>
      <c r="I11" s="635">
        <f>huishoudens!H8</f>
        <v>0</v>
      </c>
      <c r="J11" s="635">
        <f>huishoudens!I8</f>
        <v>0</v>
      </c>
      <c r="K11" s="635">
        <f>huishoudens!J8</f>
        <v>744.18889186385945</v>
      </c>
      <c r="L11" s="635">
        <f>huishoudens!K8</f>
        <v>0</v>
      </c>
      <c r="M11" s="635">
        <f>huishoudens!L8</f>
        <v>0</v>
      </c>
      <c r="N11" s="635">
        <f>huishoudens!M8</f>
        <v>0</v>
      </c>
      <c r="O11" s="635">
        <f>huishoudens!N8</f>
        <v>3688.8580795183821</v>
      </c>
      <c r="P11" s="635">
        <f>huishoudens!O8</f>
        <v>37.520000000000003</v>
      </c>
      <c r="Q11" s="636">
        <f>huishoudens!P8</f>
        <v>209.73333333333335</v>
      </c>
      <c r="R11" s="638">
        <f>SUM(C11:Q11)</f>
        <v>66631.612282827336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4006.8470000000002</v>
      </c>
      <c r="D13" s="635">
        <f>industrie!C18</f>
        <v>0</v>
      </c>
      <c r="E13" s="635">
        <f>industrie!D18</f>
        <v>2642.3476639999999</v>
      </c>
      <c r="F13" s="635">
        <f>industrie!E18</f>
        <v>64.794135872580583</v>
      </c>
      <c r="G13" s="635">
        <f>industrie!F18</f>
        <v>1724.8415161904595</v>
      </c>
      <c r="H13" s="635">
        <f>industrie!G18</f>
        <v>0</v>
      </c>
      <c r="I13" s="635">
        <f>industrie!H18</f>
        <v>0</v>
      </c>
      <c r="J13" s="635">
        <f>industrie!I18</f>
        <v>0</v>
      </c>
      <c r="K13" s="635">
        <f>industrie!J18</f>
        <v>26.007932492244734</v>
      </c>
      <c r="L13" s="635">
        <f>industrie!K18</f>
        <v>0</v>
      </c>
      <c r="M13" s="635">
        <f>industrie!L18</f>
        <v>0</v>
      </c>
      <c r="N13" s="635">
        <f>industrie!M18</f>
        <v>0</v>
      </c>
      <c r="O13" s="635">
        <f>industrie!N18</f>
        <v>147.09438262264499</v>
      </c>
      <c r="P13" s="635">
        <f>industrie!O18</f>
        <v>0</v>
      </c>
      <c r="Q13" s="636">
        <f>industrie!P18</f>
        <v>0</v>
      </c>
      <c r="R13" s="638">
        <f>SUM(C13:Q13)</f>
        <v>8611.9326311779296</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28252.123005619105</v>
      </c>
      <c r="D16" s="668">
        <f t="shared" ref="D16:R16" ca="1" si="0">SUM(D9:D15)</f>
        <v>0</v>
      </c>
      <c r="E16" s="668">
        <f t="shared" ca="1" si="0"/>
        <v>18003.133456000003</v>
      </c>
      <c r="F16" s="668">
        <f t="shared" si="0"/>
        <v>1159.9639237560084</v>
      </c>
      <c r="G16" s="668">
        <f t="shared" ca="1" si="0"/>
        <v>36286.426242225163</v>
      </c>
      <c r="H16" s="668">
        <f t="shared" si="0"/>
        <v>0</v>
      </c>
      <c r="I16" s="668">
        <f t="shared" si="0"/>
        <v>0</v>
      </c>
      <c r="J16" s="668">
        <f t="shared" si="0"/>
        <v>0</v>
      </c>
      <c r="K16" s="668">
        <f t="shared" si="0"/>
        <v>770.19682435610423</v>
      </c>
      <c r="L16" s="668">
        <f t="shared" si="0"/>
        <v>0</v>
      </c>
      <c r="M16" s="668">
        <f t="shared" ca="1" si="0"/>
        <v>0</v>
      </c>
      <c r="N16" s="668">
        <f t="shared" si="0"/>
        <v>0</v>
      </c>
      <c r="O16" s="668">
        <f t="shared" ca="1" si="0"/>
        <v>4031.5849789641679</v>
      </c>
      <c r="P16" s="668">
        <f t="shared" si="0"/>
        <v>37.520000000000003</v>
      </c>
      <c r="Q16" s="668">
        <f t="shared" si="0"/>
        <v>209.73333333333335</v>
      </c>
      <c r="R16" s="668">
        <f t="shared" ca="1" si="0"/>
        <v>88750.681764253881</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5.8673770989696914</v>
      </c>
      <c r="D19" s="635">
        <f>transport!C54</f>
        <v>0</v>
      </c>
      <c r="E19" s="635">
        <f>transport!D54</f>
        <v>0</v>
      </c>
      <c r="F19" s="635">
        <f>transport!E54</f>
        <v>0</v>
      </c>
      <c r="G19" s="635">
        <f>transport!F54</f>
        <v>0</v>
      </c>
      <c r="H19" s="635">
        <f>transport!G54</f>
        <v>1272.8685539864896</v>
      </c>
      <c r="I19" s="635">
        <f>transport!H54</f>
        <v>0</v>
      </c>
      <c r="J19" s="635">
        <f>transport!I54</f>
        <v>0</v>
      </c>
      <c r="K19" s="635">
        <f>transport!J54</f>
        <v>0</v>
      </c>
      <c r="L19" s="635">
        <f>transport!K54</f>
        <v>0</v>
      </c>
      <c r="M19" s="635">
        <f>transport!L54</f>
        <v>0</v>
      </c>
      <c r="N19" s="635">
        <f>transport!M54</f>
        <v>54.499342076606055</v>
      </c>
      <c r="O19" s="635">
        <f>transport!N54</f>
        <v>0</v>
      </c>
      <c r="P19" s="635">
        <f>transport!O54</f>
        <v>0</v>
      </c>
      <c r="Q19" s="636">
        <f>transport!P54</f>
        <v>0</v>
      </c>
      <c r="R19" s="638">
        <f>SUM(C19:Q19)</f>
        <v>1333.2352731620654</v>
      </c>
      <c r="S19" s="67"/>
    </row>
    <row r="20" spans="1:19" s="441" customFormat="1">
      <c r="A20" s="749" t="s">
        <v>296</v>
      </c>
      <c r="B20" s="754"/>
      <c r="C20" s="635">
        <f>transport!B14</f>
        <v>0.95126799373793336</v>
      </c>
      <c r="D20" s="635">
        <f>transport!C14</f>
        <v>0</v>
      </c>
      <c r="E20" s="635">
        <f>transport!D14</f>
        <v>3.1670515678247591</v>
      </c>
      <c r="F20" s="635">
        <f>transport!E14</f>
        <v>340.08092504985564</v>
      </c>
      <c r="G20" s="635">
        <f>transport!F14</f>
        <v>0</v>
      </c>
      <c r="H20" s="635">
        <f>transport!G14</f>
        <v>60048.349262320211</v>
      </c>
      <c r="I20" s="635">
        <f>transport!H14</f>
        <v>11038.139434162022</v>
      </c>
      <c r="J20" s="635">
        <f>transport!I14</f>
        <v>0</v>
      </c>
      <c r="K20" s="635">
        <f>transport!J14</f>
        <v>0</v>
      </c>
      <c r="L20" s="635">
        <f>transport!K14</f>
        <v>0</v>
      </c>
      <c r="M20" s="635">
        <f>transport!L14</f>
        <v>0</v>
      </c>
      <c r="N20" s="635">
        <f>transport!M14</f>
        <v>3094.8645506900539</v>
      </c>
      <c r="O20" s="635">
        <f>transport!N14</f>
        <v>0</v>
      </c>
      <c r="P20" s="635">
        <f>transport!O14</f>
        <v>0</v>
      </c>
      <c r="Q20" s="636">
        <f>transport!P14</f>
        <v>0</v>
      </c>
      <c r="R20" s="638">
        <f>SUM(C20:Q20)</f>
        <v>74525.552491783703</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6.8186450927076248</v>
      </c>
      <c r="D22" s="752">
        <f t="shared" ref="D22:R22" si="1">SUM(D18:D21)</f>
        <v>0</v>
      </c>
      <c r="E22" s="752">
        <f t="shared" si="1"/>
        <v>3.1670515678247591</v>
      </c>
      <c r="F22" s="752">
        <f t="shared" si="1"/>
        <v>340.08092504985564</v>
      </c>
      <c r="G22" s="752">
        <f t="shared" si="1"/>
        <v>0</v>
      </c>
      <c r="H22" s="752">
        <f t="shared" si="1"/>
        <v>61321.2178163067</v>
      </c>
      <c r="I22" s="752">
        <f t="shared" si="1"/>
        <v>11038.139434162022</v>
      </c>
      <c r="J22" s="752">
        <f t="shared" si="1"/>
        <v>0</v>
      </c>
      <c r="K22" s="752">
        <f t="shared" si="1"/>
        <v>0</v>
      </c>
      <c r="L22" s="752">
        <f t="shared" si="1"/>
        <v>0</v>
      </c>
      <c r="M22" s="752">
        <f t="shared" si="1"/>
        <v>0</v>
      </c>
      <c r="N22" s="752">
        <f t="shared" si="1"/>
        <v>3149.3638927666598</v>
      </c>
      <c r="O22" s="752">
        <f t="shared" si="1"/>
        <v>0</v>
      </c>
      <c r="P22" s="752">
        <f t="shared" si="1"/>
        <v>0</v>
      </c>
      <c r="Q22" s="752">
        <f t="shared" si="1"/>
        <v>0</v>
      </c>
      <c r="R22" s="752">
        <f t="shared" si="1"/>
        <v>75858.787764945766</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145.99</v>
      </c>
      <c r="D24" s="635">
        <f>+landbouw!C8</f>
        <v>0</v>
      </c>
      <c r="E24" s="635">
        <f>+landbouw!D8</f>
        <v>36.315422000000005</v>
      </c>
      <c r="F24" s="635">
        <f>+landbouw!E8</f>
        <v>1.3155551449828806</v>
      </c>
      <c r="G24" s="635">
        <f>+landbouw!F8</f>
        <v>547.02898254755939</v>
      </c>
      <c r="H24" s="635">
        <f>+landbouw!G8</f>
        <v>0</v>
      </c>
      <c r="I24" s="635">
        <f>+landbouw!H8</f>
        <v>0</v>
      </c>
      <c r="J24" s="635">
        <f>+landbouw!I8</f>
        <v>0</v>
      </c>
      <c r="K24" s="635">
        <f>+landbouw!J8</f>
        <v>14.773584202220006</v>
      </c>
      <c r="L24" s="635">
        <f>+landbouw!K8</f>
        <v>0</v>
      </c>
      <c r="M24" s="635">
        <f>+landbouw!L8</f>
        <v>0</v>
      </c>
      <c r="N24" s="635">
        <f>+landbouw!M8</f>
        <v>0</v>
      </c>
      <c r="O24" s="635">
        <f>+landbouw!N8</f>
        <v>0</v>
      </c>
      <c r="P24" s="635">
        <f>+landbouw!O8</f>
        <v>0</v>
      </c>
      <c r="Q24" s="636">
        <f>+landbouw!P8</f>
        <v>0</v>
      </c>
      <c r="R24" s="638">
        <f>SUM(C24:Q24)</f>
        <v>745.42354389476236</v>
      </c>
      <c r="S24" s="67"/>
    </row>
    <row r="25" spans="1:19" s="441" customFormat="1" ht="15" thickBot="1">
      <c r="A25" s="771" t="s">
        <v>864</v>
      </c>
      <c r="B25" s="923"/>
      <c r="C25" s="924">
        <f>IF(Onbekend_ele_kWh="---",0,Onbekend_ele_kWh)/1000+IF(REST_rest_ele_kWh="---",0,REST_rest_ele_kWh)/1000</f>
        <v>6505.5079999999998</v>
      </c>
      <c r="D25" s="924"/>
      <c r="E25" s="924">
        <f>IF(onbekend_gas_kWh="---",0,onbekend_gas_kWh)/1000+IF(REST_rest_gas_kWh="---",0,REST_rest_gas_kWh)/1000</f>
        <v>416.048</v>
      </c>
      <c r="F25" s="924"/>
      <c r="G25" s="924"/>
      <c r="H25" s="924"/>
      <c r="I25" s="924"/>
      <c r="J25" s="924"/>
      <c r="K25" s="924"/>
      <c r="L25" s="924"/>
      <c r="M25" s="924"/>
      <c r="N25" s="924"/>
      <c r="O25" s="924"/>
      <c r="P25" s="924"/>
      <c r="Q25" s="925"/>
      <c r="R25" s="638">
        <f>SUM(C25:Q25)</f>
        <v>6921.5559999999996</v>
      </c>
      <c r="S25" s="67"/>
    </row>
    <row r="26" spans="1:19" s="441" customFormat="1" ht="15.75" thickBot="1">
      <c r="A26" s="641" t="s">
        <v>865</v>
      </c>
      <c r="B26" s="757"/>
      <c r="C26" s="752">
        <f>SUM(C24:C25)</f>
        <v>6651.4979999999996</v>
      </c>
      <c r="D26" s="752">
        <f t="shared" ref="D26:R26" si="2">SUM(D24:D25)</f>
        <v>0</v>
      </c>
      <c r="E26" s="752">
        <f t="shared" si="2"/>
        <v>452.36342200000001</v>
      </c>
      <c r="F26" s="752">
        <f t="shared" si="2"/>
        <v>1.3155551449828806</v>
      </c>
      <c r="G26" s="752">
        <f t="shared" si="2"/>
        <v>547.02898254755939</v>
      </c>
      <c r="H26" s="752">
        <f t="shared" si="2"/>
        <v>0</v>
      </c>
      <c r="I26" s="752">
        <f t="shared" si="2"/>
        <v>0</v>
      </c>
      <c r="J26" s="752">
        <f t="shared" si="2"/>
        <v>0</v>
      </c>
      <c r="K26" s="752">
        <f t="shared" si="2"/>
        <v>14.773584202220006</v>
      </c>
      <c r="L26" s="752">
        <f t="shared" si="2"/>
        <v>0</v>
      </c>
      <c r="M26" s="752">
        <f t="shared" si="2"/>
        <v>0</v>
      </c>
      <c r="N26" s="752">
        <f t="shared" si="2"/>
        <v>0</v>
      </c>
      <c r="O26" s="752">
        <f t="shared" si="2"/>
        <v>0</v>
      </c>
      <c r="P26" s="752">
        <f t="shared" si="2"/>
        <v>0</v>
      </c>
      <c r="Q26" s="752">
        <f t="shared" si="2"/>
        <v>0</v>
      </c>
      <c r="R26" s="752">
        <f t="shared" si="2"/>
        <v>7666.9795438947622</v>
      </c>
      <c r="S26" s="67"/>
    </row>
    <row r="27" spans="1:19" s="441" customFormat="1" ht="17.25" thickTop="1" thickBot="1">
      <c r="A27" s="642" t="s">
        <v>109</v>
      </c>
      <c r="B27" s="744"/>
      <c r="C27" s="643">
        <f ca="1">C22+C16+C26</f>
        <v>34910.439650711807</v>
      </c>
      <c r="D27" s="643">
        <f t="shared" ref="D27:R27" ca="1" si="3">D22+D16+D26</f>
        <v>0</v>
      </c>
      <c r="E27" s="643">
        <f t="shared" ca="1" si="3"/>
        <v>18458.663929567825</v>
      </c>
      <c r="F27" s="643">
        <f t="shared" si="3"/>
        <v>1501.3604039508471</v>
      </c>
      <c r="G27" s="643">
        <f t="shared" ca="1" si="3"/>
        <v>36833.455224772726</v>
      </c>
      <c r="H27" s="643">
        <f t="shared" si="3"/>
        <v>61321.2178163067</v>
      </c>
      <c r="I27" s="643">
        <f t="shared" si="3"/>
        <v>11038.139434162022</v>
      </c>
      <c r="J27" s="643">
        <f t="shared" si="3"/>
        <v>0</v>
      </c>
      <c r="K27" s="643">
        <f t="shared" si="3"/>
        <v>784.97040855832427</v>
      </c>
      <c r="L27" s="643">
        <f t="shared" si="3"/>
        <v>0</v>
      </c>
      <c r="M27" s="643">
        <f t="shared" ca="1" si="3"/>
        <v>0</v>
      </c>
      <c r="N27" s="643">
        <f t="shared" si="3"/>
        <v>3149.3638927666598</v>
      </c>
      <c r="O27" s="643">
        <f t="shared" ca="1" si="3"/>
        <v>4031.5849789641679</v>
      </c>
      <c r="P27" s="643">
        <f t="shared" si="3"/>
        <v>37.520000000000003</v>
      </c>
      <c r="Q27" s="643">
        <f t="shared" si="3"/>
        <v>209.73333333333335</v>
      </c>
      <c r="R27" s="643">
        <f t="shared" ca="1" si="3"/>
        <v>172276.44907309441</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2010.1183920087722</v>
      </c>
      <c r="D40" s="635">
        <f ca="1">tertiair!C20</f>
        <v>0</v>
      </c>
      <c r="E40" s="635">
        <f ca="1">tertiair!D20</f>
        <v>461.20168855200006</v>
      </c>
      <c r="F40" s="635">
        <f>tertiair!E20</f>
        <v>28.818904959228934</v>
      </c>
      <c r="G40" s="635">
        <f ca="1">tertiair!F20</f>
        <v>403.75102643518181</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2903.8900119551827</v>
      </c>
    </row>
    <row r="41" spans="1:18">
      <c r="A41" s="762" t="s">
        <v>214</v>
      </c>
      <c r="B41" s="769"/>
      <c r="C41" s="635">
        <f ca="1">huishoudens!B12</f>
        <v>3180.5150997432315</v>
      </c>
      <c r="D41" s="635">
        <f ca="1">huishoudens!C12</f>
        <v>0</v>
      </c>
      <c r="E41" s="635">
        <f>huishoudens!D12</f>
        <v>2641.6770414320004</v>
      </c>
      <c r="F41" s="635">
        <f>huishoudens!E12</f>
        <v>219.78463689030914</v>
      </c>
      <c r="G41" s="635">
        <f>huishoudens!F12</f>
        <v>8824.1920954160832</v>
      </c>
      <c r="H41" s="635">
        <f>huishoudens!G12</f>
        <v>0</v>
      </c>
      <c r="I41" s="635">
        <f>huishoudens!H12</f>
        <v>0</v>
      </c>
      <c r="J41" s="635">
        <f>huishoudens!I12</f>
        <v>0</v>
      </c>
      <c r="K41" s="635">
        <f>huishoudens!J12</f>
        <v>263.44286771980626</v>
      </c>
      <c r="L41" s="635">
        <f>huishoudens!K12</f>
        <v>0</v>
      </c>
      <c r="M41" s="635">
        <f>huishoudens!L12</f>
        <v>0</v>
      </c>
      <c r="N41" s="635">
        <f>huishoudens!M12</f>
        <v>0</v>
      </c>
      <c r="O41" s="635">
        <f>huishoudens!N12</f>
        <v>0</v>
      </c>
      <c r="P41" s="635">
        <f>huishoudens!O12</f>
        <v>0</v>
      </c>
      <c r="Q41" s="710">
        <f>huishoudens!P12</f>
        <v>0</v>
      </c>
      <c r="R41" s="790">
        <f t="shared" ca="1" si="4"/>
        <v>15129.61174120143</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857.81965236056135</v>
      </c>
      <c r="D43" s="635">
        <f ca="1">industrie!C22</f>
        <v>0</v>
      </c>
      <c r="E43" s="635">
        <f>industrie!D22</f>
        <v>533.75422812800002</v>
      </c>
      <c r="F43" s="635">
        <f>industrie!E22</f>
        <v>14.708268843075793</v>
      </c>
      <c r="G43" s="635">
        <f>industrie!F22</f>
        <v>460.53268482285273</v>
      </c>
      <c r="H43" s="635">
        <f>industrie!G22</f>
        <v>0</v>
      </c>
      <c r="I43" s="635">
        <f>industrie!H22</f>
        <v>0</v>
      </c>
      <c r="J43" s="635">
        <f>industrie!I22</f>
        <v>0</v>
      </c>
      <c r="K43" s="635">
        <f>industrie!J22</f>
        <v>9.2068081022546355</v>
      </c>
      <c r="L43" s="635">
        <f>industrie!K22</f>
        <v>0</v>
      </c>
      <c r="M43" s="635">
        <f>industrie!L22</f>
        <v>0</v>
      </c>
      <c r="N43" s="635">
        <f>industrie!M22</f>
        <v>0</v>
      </c>
      <c r="O43" s="635">
        <f>industrie!N22</f>
        <v>0</v>
      </c>
      <c r="P43" s="635">
        <f>industrie!O22</f>
        <v>0</v>
      </c>
      <c r="Q43" s="710">
        <f>industrie!P22</f>
        <v>0</v>
      </c>
      <c r="R43" s="789">
        <f t="shared" ca="1" si="4"/>
        <v>1876.0216422567444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6048.4531441125646</v>
      </c>
      <c r="D46" s="668">
        <f t="shared" ref="D46:Q46" ca="1" si="5">SUM(D39:D45)</f>
        <v>0</v>
      </c>
      <c r="E46" s="668">
        <f t="shared" ca="1" si="5"/>
        <v>3636.6329581120008</v>
      </c>
      <c r="F46" s="668">
        <f t="shared" si="5"/>
        <v>263.3118106926139</v>
      </c>
      <c r="G46" s="668">
        <f t="shared" ca="1" si="5"/>
        <v>9688.4758066741178</v>
      </c>
      <c r="H46" s="668">
        <f t="shared" si="5"/>
        <v>0</v>
      </c>
      <c r="I46" s="668">
        <f t="shared" si="5"/>
        <v>0</v>
      </c>
      <c r="J46" s="668">
        <f t="shared" si="5"/>
        <v>0</v>
      </c>
      <c r="K46" s="668">
        <f t="shared" si="5"/>
        <v>272.64967582206089</v>
      </c>
      <c r="L46" s="668">
        <f t="shared" si="5"/>
        <v>0</v>
      </c>
      <c r="M46" s="668">
        <f t="shared" ca="1" si="5"/>
        <v>0</v>
      </c>
      <c r="N46" s="668">
        <f t="shared" si="5"/>
        <v>0</v>
      </c>
      <c r="O46" s="668">
        <f t="shared" ca="1" si="5"/>
        <v>0</v>
      </c>
      <c r="P46" s="668">
        <f t="shared" si="5"/>
        <v>0</v>
      </c>
      <c r="Q46" s="668">
        <f t="shared" si="5"/>
        <v>0</v>
      </c>
      <c r="R46" s="668">
        <f ca="1">SUM(R39:R45)</f>
        <v>19909.523395413355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1.2561376522004708</v>
      </c>
      <c r="D49" s="635">
        <f ca="1">transport!C58</f>
        <v>0</v>
      </c>
      <c r="E49" s="635">
        <f>transport!D58</f>
        <v>0</v>
      </c>
      <c r="F49" s="635">
        <f>transport!E58</f>
        <v>0</v>
      </c>
      <c r="G49" s="635">
        <f>transport!F58</f>
        <v>0</v>
      </c>
      <c r="H49" s="635">
        <f>transport!G58</f>
        <v>339.85590391439274</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341.11204156659323</v>
      </c>
    </row>
    <row r="50" spans="1:18">
      <c r="A50" s="765" t="s">
        <v>296</v>
      </c>
      <c r="B50" s="775"/>
      <c r="C50" s="930">
        <f ca="1">transport!B18</f>
        <v>0.20365548764153027</v>
      </c>
      <c r="D50" s="930">
        <f>transport!C18</f>
        <v>0</v>
      </c>
      <c r="E50" s="930">
        <f>transport!D18</f>
        <v>0.63974441670060134</v>
      </c>
      <c r="F50" s="930">
        <f>transport!E18</f>
        <v>77.198369986317232</v>
      </c>
      <c r="G50" s="930">
        <f>transport!F18</f>
        <v>0</v>
      </c>
      <c r="H50" s="930">
        <f>transport!G18</f>
        <v>16032.909253039497</v>
      </c>
      <c r="I50" s="930">
        <f>transport!H18</f>
        <v>2748.4967191063433</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18859.4477420365</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1.459793139842001</v>
      </c>
      <c r="D52" s="668">
        <f t="shared" ref="D52:Q52" ca="1" si="6">SUM(D48:D51)</f>
        <v>0</v>
      </c>
      <c r="E52" s="668">
        <f t="shared" si="6"/>
        <v>0.63974441670060134</v>
      </c>
      <c r="F52" s="668">
        <f t="shared" si="6"/>
        <v>77.198369986317232</v>
      </c>
      <c r="G52" s="668">
        <f t="shared" si="6"/>
        <v>0</v>
      </c>
      <c r="H52" s="668">
        <f t="shared" si="6"/>
        <v>16372.76515695389</v>
      </c>
      <c r="I52" s="668">
        <f t="shared" si="6"/>
        <v>2748.4967191063433</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19200.559783603094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31.254772405364708</v>
      </c>
      <c r="D54" s="930">
        <f ca="1">+landbouw!C12</f>
        <v>0</v>
      </c>
      <c r="E54" s="930">
        <f>+landbouw!D12</f>
        <v>7.3357152440000011</v>
      </c>
      <c r="F54" s="930">
        <f>+landbouw!E12</f>
        <v>0.29863101791111391</v>
      </c>
      <c r="G54" s="930">
        <f>+landbouw!F12</f>
        <v>146.05673834019836</v>
      </c>
      <c r="H54" s="930">
        <f>+landbouw!G12</f>
        <v>0</v>
      </c>
      <c r="I54" s="930">
        <f>+landbouw!H12</f>
        <v>0</v>
      </c>
      <c r="J54" s="930">
        <f>+landbouw!I12</f>
        <v>0</v>
      </c>
      <c r="K54" s="930">
        <f>+landbouw!J12</f>
        <v>5.2298488075858813</v>
      </c>
      <c r="L54" s="930">
        <f>+landbouw!K12</f>
        <v>0</v>
      </c>
      <c r="M54" s="930">
        <f>+landbouw!L12</f>
        <v>0</v>
      </c>
      <c r="N54" s="930">
        <f>+landbouw!M12</f>
        <v>0</v>
      </c>
      <c r="O54" s="930">
        <f>+landbouw!N12</f>
        <v>0</v>
      </c>
      <c r="P54" s="930">
        <f>+landbouw!O12</f>
        <v>0</v>
      </c>
      <c r="Q54" s="931">
        <f>+landbouw!P12</f>
        <v>0</v>
      </c>
      <c r="R54" s="667">
        <f ca="1">SUM(C54:Q54)</f>
        <v>190.17570581506007</v>
      </c>
    </row>
    <row r="55" spans="1:18" ht="15" thickBot="1">
      <c r="A55" s="765" t="s">
        <v>864</v>
      </c>
      <c r="B55" s="775"/>
      <c r="C55" s="930">
        <f ca="1">C25*'EF ele_warmte'!B12</f>
        <v>1392.7541059064274</v>
      </c>
      <c r="D55" s="930"/>
      <c r="E55" s="930">
        <f>E25*EF_CO2_aardgas</f>
        <v>84.041696000000002</v>
      </c>
      <c r="F55" s="930"/>
      <c r="G55" s="930"/>
      <c r="H55" s="930"/>
      <c r="I55" s="930"/>
      <c r="J55" s="930"/>
      <c r="K55" s="930"/>
      <c r="L55" s="930"/>
      <c r="M55" s="930"/>
      <c r="N55" s="930"/>
      <c r="O55" s="930"/>
      <c r="P55" s="930"/>
      <c r="Q55" s="931"/>
      <c r="R55" s="667">
        <f ca="1">SUM(C55:Q55)</f>
        <v>1476.7958019064274</v>
      </c>
    </row>
    <row r="56" spans="1:18" ht="15.75" thickBot="1">
      <c r="A56" s="763" t="s">
        <v>865</v>
      </c>
      <c r="B56" s="776"/>
      <c r="C56" s="668">
        <f ca="1">SUM(C54:C55)</f>
        <v>1424.0088783117922</v>
      </c>
      <c r="D56" s="668">
        <f t="shared" ref="D56:Q56" ca="1" si="7">SUM(D54:D55)</f>
        <v>0</v>
      </c>
      <c r="E56" s="668">
        <f t="shared" si="7"/>
        <v>91.377411244000001</v>
      </c>
      <c r="F56" s="668">
        <f t="shared" si="7"/>
        <v>0.29863101791111391</v>
      </c>
      <c r="G56" s="668">
        <f t="shared" si="7"/>
        <v>146.05673834019836</v>
      </c>
      <c r="H56" s="668">
        <f t="shared" si="7"/>
        <v>0</v>
      </c>
      <c r="I56" s="668">
        <f t="shared" si="7"/>
        <v>0</v>
      </c>
      <c r="J56" s="668">
        <f t="shared" si="7"/>
        <v>0</v>
      </c>
      <c r="K56" s="668">
        <f t="shared" si="7"/>
        <v>5.2298488075858813</v>
      </c>
      <c r="L56" s="668">
        <f t="shared" si="7"/>
        <v>0</v>
      </c>
      <c r="M56" s="668">
        <f t="shared" si="7"/>
        <v>0</v>
      </c>
      <c r="N56" s="668">
        <f t="shared" si="7"/>
        <v>0</v>
      </c>
      <c r="O56" s="668">
        <f t="shared" si="7"/>
        <v>0</v>
      </c>
      <c r="P56" s="668">
        <f t="shared" si="7"/>
        <v>0</v>
      </c>
      <c r="Q56" s="669">
        <f t="shared" si="7"/>
        <v>0</v>
      </c>
      <c r="R56" s="670">
        <f ca="1">SUM(R54:R55)</f>
        <v>1666.9715077214876</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7473.9218155641993</v>
      </c>
      <c r="D61" s="676">
        <f t="shared" ref="D61:Q61" ca="1" si="8">D46+D52+D56</f>
        <v>0</v>
      </c>
      <c r="E61" s="676">
        <f t="shared" ca="1" si="8"/>
        <v>3728.6501137727014</v>
      </c>
      <c r="F61" s="676">
        <f t="shared" si="8"/>
        <v>340.80881169684227</v>
      </c>
      <c r="G61" s="676">
        <f t="shared" ca="1" si="8"/>
        <v>9834.5325450143155</v>
      </c>
      <c r="H61" s="676">
        <f t="shared" si="8"/>
        <v>16372.76515695389</v>
      </c>
      <c r="I61" s="676">
        <f t="shared" si="8"/>
        <v>2748.4967191063433</v>
      </c>
      <c r="J61" s="676">
        <f t="shared" si="8"/>
        <v>0</v>
      </c>
      <c r="K61" s="676">
        <f t="shared" si="8"/>
        <v>277.87952462964677</v>
      </c>
      <c r="L61" s="676">
        <f t="shared" si="8"/>
        <v>0</v>
      </c>
      <c r="M61" s="676">
        <f t="shared" ca="1" si="8"/>
        <v>0</v>
      </c>
      <c r="N61" s="676">
        <f t="shared" si="8"/>
        <v>0</v>
      </c>
      <c r="O61" s="676">
        <f t="shared" ca="1" si="8"/>
        <v>0</v>
      </c>
      <c r="P61" s="676">
        <f t="shared" si="8"/>
        <v>0</v>
      </c>
      <c r="Q61" s="676">
        <f t="shared" si="8"/>
        <v>0</v>
      </c>
      <c r="R61" s="676">
        <f ca="1">R46+R52+R56</f>
        <v>40777.054686737938</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0.21408844719066175</v>
      </c>
      <c r="D63" s="720">
        <f t="shared" ca="1" si="9"/>
        <v>0</v>
      </c>
      <c r="E63" s="932">
        <f t="shared" ca="1" si="9"/>
        <v>0.20200000000000004</v>
      </c>
      <c r="F63" s="720">
        <f t="shared" si="9"/>
        <v>0.22699999999999998</v>
      </c>
      <c r="G63" s="720">
        <f t="shared" ca="1" si="9"/>
        <v>0.26699999999999996</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1091.7889015525432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1091.7889015525432</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14856.080005619106</v>
      </c>
      <c r="C4" s="445">
        <f>huishoudens!C8</f>
        <v>0</v>
      </c>
      <c r="D4" s="445">
        <f>huishoudens!D8</f>
        <v>13077.609116000001</v>
      </c>
      <c r="E4" s="445">
        <f>huishoudens!E8</f>
        <v>968.21425942867461</v>
      </c>
      <c r="F4" s="445">
        <f>huishoudens!F8</f>
        <v>33049.408597063979</v>
      </c>
      <c r="G4" s="445">
        <f>huishoudens!G8</f>
        <v>0</v>
      </c>
      <c r="H4" s="445">
        <f>huishoudens!H8</f>
        <v>0</v>
      </c>
      <c r="I4" s="445">
        <f>huishoudens!I8</f>
        <v>0</v>
      </c>
      <c r="J4" s="445">
        <f>huishoudens!J8</f>
        <v>744.18889186385945</v>
      </c>
      <c r="K4" s="445">
        <f>huishoudens!K8</f>
        <v>0</v>
      </c>
      <c r="L4" s="445">
        <f>huishoudens!L8</f>
        <v>0</v>
      </c>
      <c r="M4" s="445">
        <f>huishoudens!M8</f>
        <v>0</v>
      </c>
      <c r="N4" s="445">
        <f>huishoudens!N8</f>
        <v>3688.8580795183821</v>
      </c>
      <c r="O4" s="445">
        <f>huishoudens!O8</f>
        <v>37.520000000000003</v>
      </c>
      <c r="P4" s="446">
        <f>huishoudens!P8</f>
        <v>209.73333333333335</v>
      </c>
      <c r="Q4" s="447">
        <f>SUM(B4:P4)</f>
        <v>66631.612282827336</v>
      </c>
    </row>
    <row r="5" spans="1:17">
      <c r="A5" s="444" t="s">
        <v>149</v>
      </c>
      <c r="B5" s="445">
        <f ca="1">tertiair!B16</f>
        <v>8697.82</v>
      </c>
      <c r="C5" s="445">
        <f ca="1">tertiair!C16</f>
        <v>0</v>
      </c>
      <c r="D5" s="445">
        <f ca="1">tertiair!D16</f>
        <v>2283.176676</v>
      </c>
      <c r="E5" s="445">
        <f>tertiair!E16</f>
        <v>126.95552845475301</v>
      </c>
      <c r="F5" s="445">
        <f ca="1">tertiair!F16</f>
        <v>1512.1761289707183</v>
      </c>
      <c r="G5" s="445">
        <f>tertiair!G16</f>
        <v>0</v>
      </c>
      <c r="H5" s="445">
        <f>tertiair!H16</f>
        <v>0</v>
      </c>
      <c r="I5" s="445">
        <f>tertiair!I16</f>
        <v>0</v>
      </c>
      <c r="J5" s="445">
        <f>tertiair!J16</f>
        <v>0</v>
      </c>
      <c r="K5" s="445">
        <f>tertiair!K16</f>
        <v>0</v>
      </c>
      <c r="L5" s="445">
        <f ca="1">tertiair!L16</f>
        <v>0</v>
      </c>
      <c r="M5" s="445">
        <f>tertiair!M16</f>
        <v>0</v>
      </c>
      <c r="N5" s="445">
        <f ca="1">tertiair!N16</f>
        <v>195.63251682314083</v>
      </c>
      <c r="O5" s="445">
        <f>tertiair!O16</f>
        <v>0</v>
      </c>
      <c r="P5" s="446">
        <f>tertiair!P16</f>
        <v>0</v>
      </c>
      <c r="Q5" s="444">
        <f t="shared" ref="Q5:Q14" ca="1" si="0">SUM(B5:P5)</f>
        <v>12815.760850248611</v>
      </c>
    </row>
    <row r="6" spans="1:17">
      <c r="A6" s="444" t="s">
        <v>187</v>
      </c>
      <c r="B6" s="445">
        <f>'openbare verlichting'!B8</f>
        <v>691.37599999999998</v>
      </c>
      <c r="C6" s="445"/>
      <c r="D6" s="445"/>
      <c r="E6" s="445"/>
      <c r="F6" s="445"/>
      <c r="G6" s="445"/>
      <c r="H6" s="445"/>
      <c r="I6" s="445"/>
      <c r="J6" s="445"/>
      <c r="K6" s="445"/>
      <c r="L6" s="445"/>
      <c r="M6" s="445"/>
      <c r="N6" s="445"/>
      <c r="O6" s="445"/>
      <c r="P6" s="446"/>
      <c r="Q6" s="444">
        <f t="shared" si="0"/>
        <v>691.37599999999998</v>
      </c>
    </row>
    <row r="7" spans="1:17">
      <c r="A7" s="444" t="s">
        <v>105</v>
      </c>
      <c r="B7" s="445">
        <f>landbouw!B8</f>
        <v>145.99</v>
      </c>
      <c r="C7" s="445">
        <f>landbouw!C8</f>
        <v>0</v>
      </c>
      <c r="D7" s="445">
        <f>landbouw!D8</f>
        <v>36.315422000000005</v>
      </c>
      <c r="E7" s="445">
        <f>landbouw!E8</f>
        <v>1.3155551449828806</v>
      </c>
      <c r="F7" s="445">
        <f>landbouw!F8</f>
        <v>547.02898254755939</v>
      </c>
      <c r="G7" s="445">
        <f>landbouw!G8</f>
        <v>0</v>
      </c>
      <c r="H7" s="445">
        <f>landbouw!H8</f>
        <v>0</v>
      </c>
      <c r="I7" s="445">
        <f>landbouw!I8</f>
        <v>0</v>
      </c>
      <c r="J7" s="445">
        <f>landbouw!J8</f>
        <v>14.773584202220006</v>
      </c>
      <c r="K7" s="445">
        <f>landbouw!K8</f>
        <v>0</v>
      </c>
      <c r="L7" s="445">
        <f>landbouw!L8</f>
        <v>0</v>
      </c>
      <c r="M7" s="445">
        <f>landbouw!M8</f>
        <v>0</v>
      </c>
      <c r="N7" s="445">
        <f>landbouw!N8</f>
        <v>0</v>
      </c>
      <c r="O7" s="445">
        <f>landbouw!O8</f>
        <v>0</v>
      </c>
      <c r="P7" s="446">
        <f>landbouw!P8</f>
        <v>0</v>
      </c>
      <c r="Q7" s="444">
        <f t="shared" si="0"/>
        <v>745.42354389476236</v>
      </c>
    </row>
    <row r="8" spans="1:17">
      <c r="A8" s="444" t="s">
        <v>613</v>
      </c>
      <c r="B8" s="445">
        <f>industrie!B18</f>
        <v>4006.8470000000002</v>
      </c>
      <c r="C8" s="445">
        <f>industrie!C18</f>
        <v>0</v>
      </c>
      <c r="D8" s="445">
        <f>industrie!D18</f>
        <v>2642.3476639999999</v>
      </c>
      <c r="E8" s="445">
        <f>industrie!E18</f>
        <v>64.794135872580583</v>
      </c>
      <c r="F8" s="445">
        <f>industrie!F18</f>
        <v>1724.8415161904595</v>
      </c>
      <c r="G8" s="445">
        <f>industrie!G18</f>
        <v>0</v>
      </c>
      <c r="H8" s="445">
        <f>industrie!H18</f>
        <v>0</v>
      </c>
      <c r="I8" s="445">
        <f>industrie!I18</f>
        <v>0</v>
      </c>
      <c r="J8" s="445">
        <f>industrie!J18</f>
        <v>26.007932492244734</v>
      </c>
      <c r="K8" s="445">
        <f>industrie!K18</f>
        <v>0</v>
      </c>
      <c r="L8" s="445">
        <f>industrie!L18</f>
        <v>0</v>
      </c>
      <c r="M8" s="445">
        <f>industrie!M18</f>
        <v>0</v>
      </c>
      <c r="N8" s="445">
        <f>industrie!N18</f>
        <v>147.09438262264499</v>
      </c>
      <c r="O8" s="445">
        <f>industrie!O18</f>
        <v>0</v>
      </c>
      <c r="P8" s="446">
        <f>industrie!P18</f>
        <v>0</v>
      </c>
      <c r="Q8" s="444">
        <f t="shared" si="0"/>
        <v>8611.9326311779296</v>
      </c>
    </row>
    <row r="9" spans="1:17" s="450" customFormat="1">
      <c r="A9" s="448" t="s">
        <v>555</v>
      </c>
      <c r="B9" s="449">
        <f>transport!B14</f>
        <v>0.95126799373793336</v>
      </c>
      <c r="C9" s="449">
        <f>transport!C14</f>
        <v>0</v>
      </c>
      <c r="D9" s="449">
        <f>transport!D14</f>
        <v>3.1670515678247591</v>
      </c>
      <c r="E9" s="449">
        <f>transport!E14</f>
        <v>340.08092504985564</v>
      </c>
      <c r="F9" s="449">
        <f>transport!F14</f>
        <v>0</v>
      </c>
      <c r="G9" s="449">
        <f>transport!G14</f>
        <v>60048.349262320211</v>
      </c>
      <c r="H9" s="449">
        <f>transport!H14</f>
        <v>11038.139434162022</v>
      </c>
      <c r="I9" s="449">
        <f>transport!I14</f>
        <v>0</v>
      </c>
      <c r="J9" s="449">
        <f>transport!J14</f>
        <v>0</v>
      </c>
      <c r="K9" s="449">
        <f>transport!K14</f>
        <v>0</v>
      </c>
      <c r="L9" s="449">
        <f>transport!L14</f>
        <v>0</v>
      </c>
      <c r="M9" s="449">
        <f>transport!M14</f>
        <v>3094.8645506900539</v>
      </c>
      <c r="N9" s="449">
        <f>transport!N14</f>
        <v>0</v>
      </c>
      <c r="O9" s="449">
        <f>transport!O14</f>
        <v>0</v>
      </c>
      <c r="P9" s="449">
        <f>transport!P14</f>
        <v>0</v>
      </c>
      <c r="Q9" s="448">
        <f>SUM(B9:P9)</f>
        <v>74525.552491783703</v>
      </c>
    </row>
    <row r="10" spans="1:17">
      <c r="A10" s="444" t="s">
        <v>545</v>
      </c>
      <c r="B10" s="445">
        <f>transport!B54</f>
        <v>5.8673770989696914</v>
      </c>
      <c r="C10" s="445">
        <f>transport!C54</f>
        <v>0</v>
      </c>
      <c r="D10" s="445">
        <f>transport!D54</f>
        <v>0</v>
      </c>
      <c r="E10" s="445">
        <f>transport!E54</f>
        <v>0</v>
      </c>
      <c r="F10" s="445">
        <f>transport!F54</f>
        <v>0</v>
      </c>
      <c r="G10" s="445">
        <f>transport!G54</f>
        <v>1272.8685539864896</v>
      </c>
      <c r="H10" s="445">
        <f>transport!H54</f>
        <v>0</v>
      </c>
      <c r="I10" s="445">
        <f>transport!I54</f>
        <v>0</v>
      </c>
      <c r="J10" s="445">
        <f>transport!J54</f>
        <v>0</v>
      </c>
      <c r="K10" s="445">
        <f>transport!K54</f>
        <v>0</v>
      </c>
      <c r="L10" s="445">
        <f>transport!L54</f>
        <v>0</v>
      </c>
      <c r="M10" s="445">
        <f>transport!M54</f>
        <v>54.499342076606055</v>
      </c>
      <c r="N10" s="445">
        <f>transport!N54</f>
        <v>0</v>
      </c>
      <c r="O10" s="445">
        <f>transport!O54</f>
        <v>0</v>
      </c>
      <c r="P10" s="446">
        <f>transport!P54</f>
        <v>0</v>
      </c>
      <c r="Q10" s="444">
        <f t="shared" si="0"/>
        <v>1333.2352731620654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6505.5079999999998</v>
      </c>
      <c r="C14" s="452"/>
      <c r="D14" s="452">
        <f>'SEAP template'!E25</f>
        <v>416.048</v>
      </c>
      <c r="E14" s="452"/>
      <c r="F14" s="452"/>
      <c r="G14" s="452"/>
      <c r="H14" s="452"/>
      <c r="I14" s="452"/>
      <c r="J14" s="452"/>
      <c r="K14" s="452"/>
      <c r="L14" s="452"/>
      <c r="M14" s="452"/>
      <c r="N14" s="452"/>
      <c r="O14" s="452"/>
      <c r="P14" s="453"/>
      <c r="Q14" s="444">
        <f t="shared" si="0"/>
        <v>6921.5559999999996</v>
      </c>
    </row>
    <row r="15" spans="1:17" s="457" customFormat="1">
      <c r="A15" s="454" t="s">
        <v>549</v>
      </c>
      <c r="B15" s="455">
        <f ca="1">SUM(B4:B14)</f>
        <v>34910.439650711822</v>
      </c>
      <c r="C15" s="455">
        <f t="shared" ref="C15:Q15" ca="1" si="1">SUM(C4:C14)</f>
        <v>0</v>
      </c>
      <c r="D15" s="455">
        <f t="shared" ca="1" si="1"/>
        <v>18458.663929567825</v>
      </c>
      <c r="E15" s="455">
        <f t="shared" si="1"/>
        <v>1501.3604039508468</v>
      </c>
      <c r="F15" s="455">
        <f t="shared" ca="1" si="1"/>
        <v>36833.455224772726</v>
      </c>
      <c r="G15" s="455">
        <f t="shared" si="1"/>
        <v>61321.2178163067</v>
      </c>
      <c r="H15" s="455">
        <f t="shared" si="1"/>
        <v>11038.139434162022</v>
      </c>
      <c r="I15" s="455">
        <f t="shared" si="1"/>
        <v>0</v>
      </c>
      <c r="J15" s="455">
        <f t="shared" si="1"/>
        <v>784.97040855832427</v>
      </c>
      <c r="K15" s="455">
        <f t="shared" si="1"/>
        <v>0</v>
      </c>
      <c r="L15" s="455">
        <f t="shared" ca="1" si="1"/>
        <v>0</v>
      </c>
      <c r="M15" s="455">
        <f t="shared" si="1"/>
        <v>3149.3638927666598</v>
      </c>
      <c r="N15" s="455">
        <f t="shared" ca="1" si="1"/>
        <v>4031.5849789641679</v>
      </c>
      <c r="O15" s="455">
        <f t="shared" si="1"/>
        <v>37.520000000000003</v>
      </c>
      <c r="P15" s="455">
        <f t="shared" si="1"/>
        <v>209.73333333333335</v>
      </c>
      <c r="Q15" s="455">
        <f t="shared" ca="1" si="1"/>
        <v>172276.44907309444</v>
      </c>
    </row>
    <row r="17" spans="1:17">
      <c r="A17" s="458" t="s">
        <v>550</v>
      </c>
      <c r="B17" s="725">
        <f ca="1">huishoudens!B10</f>
        <v>0.21408844719066172</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3180.5150997432315</v>
      </c>
      <c r="C22" s="445">
        <f t="shared" ref="C22:C32" ca="1" si="3">C4*$C$17</f>
        <v>0</v>
      </c>
      <c r="D22" s="445">
        <f t="shared" ref="D22:D32" si="4">D4*$D$17</f>
        <v>2641.6770414320004</v>
      </c>
      <c r="E22" s="445">
        <f t="shared" ref="E22:E32" si="5">E4*$E$17</f>
        <v>219.78463689030914</v>
      </c>
      <c r="F22" s="445">
        <f t="shared" ref="F22:F32" si="6">F4*$F$17</f>
        <v>8824.1920954160832</v>
      </c>
      <c r="G22" s="445">
        <f t="shared" ref="G22:G32" si="7">G4*$G$17</f>
        <v>0</v>
      </c>
      <c r="H22" s="445">
        <f t="shared" ref="H22:H32" si="8">H4*$H$17</f>
        <v>0</v>
      </c>
      <c r="I22" s="445">
        <f t="shared" ref="I22:I32" si="9">I4*$I$17</f>
        <v>0</v>
      </c>
      <c r="J22" s="445">
        <f t="shared" ref="J22:J32" si="10">J4*$J$17</f>
        <v>263.44286771980626</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15129.61174120143</v>
      </c>
    </row>
    <row r="23" spans="1:17">
      <c r="A23" s="444" t="s">
        <v>149</v>
      </c>
      <c r="B23" s="445">
        <f t="shared" ca="1" si="2"/>
        <v>1862.1027777438812</v>
      </c>
      <c r="C23" s="445">
        <f t="shared" ca="1" si="3"/>
        <v>0</v>
      </c>
      <c r="D23" s="445">
        <f t="shared" ca="1" si="4"/>
        <v>461.20168855200006</v>
      </c>
      <c r="E23" s="445">
        <f t="shared" si="5"/>
        <v>28.818904959228934</v>
      </c>
      <c r="F23" s="445">
        <f t="shared" ca="1" si="6"/>
        <v>403.75102643518181</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2755.874397690292</v>
      </c>
    </row>
    <row r="24" spans="1:17">
      <c r="A24" s="444" t="s">
        <v>187</v>
      </c>
      <c r="B24" s="445">
        <f t="shared" ca="1" si="2"/>
        <v>148.01561426489093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148.01561426489093</v>
      </c>
    </row>
    <row r="25" spans="1:17">
      <c r="A25" s="444" t="s">
        <v>105</v>
      </c>
      <c r="B25" s="445">
        <f t="shared" ca="1" si="2"/>
        <v>31.254772405364708</v>
      </c>
      <c r="C25" s="445">
        <f t="shared" ca="1" si="3"/>
        <v>0</v>
      </c>
      <c r="D25" s="445">
        <f t="shared" si="4"/>
        <v>7.3357152440000011</v>
      </c>
      <c r="E25" s="445">
        <f t="shared" si="5"/>
        <v>0.29863101791111391</v>
      </c>
      <c r="F25" s="445">
        <f t="shared" si="6"/>
        <v>146.05673834019836</v>
      </c>
      <c r="G25" s="445">
        <f t="shared" si="7"/>
        <v>0</v>
      </c>
      <c r="H25" s="445">
        <f t="shared" si="8"/>
        <v>0</v>
      </c>
      <c r="I25" s="445">
        <f t="shared" si="9"/>
        <v>0</v>
      </c>
      <c r="J25" s="445">
        <f t="shared" si="10"/>
        <v>5.2298488075858813</v>
      </c>
      <c r="K25" s="445">
        <f t="shared" si="11"/>
        <v>0</v>
      </c>
      <c r="L25" s="445">
        <f t="shared" si="12"/>
        <v>0</v>
      </c>
      <c r="M25" s="445">
        <f t="shared" si="13"/>
        <v>0</v>
      </c>
      <c r="N25" s="445">
        <f t="shared" si="14"/>
        <v>0</v>
      </c>
      <c r="O25" s="445">
        <f t="shared" si="15"/>
        <v>0</v>
      </c>
      <c r="P25" s="446">
        <f t="shared" si="16"/>
        <v>0</v>
      </c>
      <c r="Q25" s="444">
        <f t="shared" ca="1" si="17"/>
        <v>190.17570581506007</v>
      </c>
    </row>
    <row r="26" spans="1:17">
      <c r="A26" s="444" t="s">
        <v>613</v>
      </c>
      <c r="B26" s="445">
        <f t="shared" ca="1" si="2"/>
        <v>857.81965236056135</v>
      </c>
      <c r="C26" s="445">
        <f t="shared" ca="1" si="3"/>
        <v>0</v>
      </c>
      <c r="D26" s="445">
        <f t="shared" si="4"/>
        <v>533.75422812800002</v>
      </c>
      <c r="E26" s="445">
        <f t="shared" si="5"/>
        <v>14.708268843075793</v>
      </c>
      <c r="F26" s="445">
        <f t="shared" si="6"/>
        <v>460.53268482285273</v>
      </c>
      <c r="G26" s="445">
        <f t="shared" si="7"/>
        <v>0</v>
      </c>
      <c r="H26" s="445">
        <f t="shared" si="8"/>
        <v>0</v>
      </c>
      <c r="I26" s="445">
        <f t="shared" si="9"/>
        <v>0</v>
      </c>
      <c r="J26" s="445">
        <f t="shared" si="10"/>
        <v>9.2068081022546355</v>
      </c>
      <c r="K26" s="445">
        <f t="shared" si="11"/>
        <v>0</v>
      </c>
      <c r="L26" s="445">
        <f t="shared" si="12"/>
        <v>0</v>
      </c>
      <c r="M26" s="445">
        <f t="shared" si="13"/>
        <v>0</v>
      </c>
      <c r="N26" s="445">
        <f t="shared" si="14"/>
        <v>0</v>
      </c>
      <c r="O26" s="445">
        <f t="shared" si="15"/>
        <v>0</v>
      </c>
      <c r="P26" s="446">
        <f t="shared" si="16"/>
        <v>0</v>
      </c>
      <c r="Q26" s="444">
        <f t="shared" ca="1" si="17"/>
        <v>1876.0216422567444</v>
      </c>
    </row>
    <row r="27" spans="1:17" s="450" customFormat="1">
      <c r="A27" s="448" t="s">
        <v>555</v>
      </c>
      <c r="B27" s="719">
        <f t="shared" ca="1" si="2"/>
        <v>0.20365548764153027</v>
      </c>
      <c r="C27" s="449">
        <f t="shared" ca="1" si="3"/>
        <v>0</v>
      </c>
      <c r="D27" s="449">
        <f t="shared" si="4"/>
        <v>0.63974441670060134</v>
      </c>
      <c r="E27" s="449">
        <f t="shared" si="5"/>
        <v>77.198369986317232</v>
      </c>
      <c r="F27" s="449">
        <f t="shared" si="6"/>
        <v>0</v>
      </c>
      <c r="G27" s="449">
        <f t="shared" si="7"/>
        <v>16032.909253039497</v>
      </c>
      <c r="H27" s="449">
        <f t="shared" si="8"/>
        <v>2748.4967191063433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18859.4477420365</v>
      </c>
    </row>
    <row r="28" spans="1:17">
      <c r="A28" s="444" t="s">
        <v>545</v>
      </c>
      <c r="B28" s="445">
        <f t="shared" ca="1" si="2"/>
        <v>1.2561376522004708</v>
      </c>
      <c r="C28" s="445">
        <f t="shared" ca="1" si="3"/>
        <v>0</v>
      </c>
      <c r="D28" s="445">
        <f t="shared" si="4"/>
        <v>0</v>
      </c>
      <c r="E28" s="445">
        <f t="shared" si="5"/>
        <v>0</v>
      </c>
      <c r="F28" s="445">
        <f t="shared" si="6"/>
        <v>0</v>
      </c>
      <c r="G28" s="445">
        <f t="shared" si="7"/>
        <v>339.85590391439274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341.11204156659323</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1392.7541059064274</v>
      </c>
      <c r="C32" s="445">
        <f t="shared" ca="1" si="3"/>
        <v>0</v>
      </c>
      <c r="D32" s="445">
        <f t="shared" si="4"/>
        <v>84.041696000000002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1476.7958019064274</v>
      </c>
    </row>
    <row r="33" spans="1:17" s="457" customFormat="1">
      <c r="A33" s="454" t="s">
        <v>549</v>
      </c>
      <c r="B33" s="455">
        <f ca="1">SUM(B22:B32)</f>
        <v>7473.9218155641993</v>
      </c>
      <c r="C33" s="455">
        <f t="shared" ref="C33:Q33" ca="1" si="19">SUM(C22:C32)</f>
        <v>0</v>
      </c>
      <c r="D33" s="455">
        <f t="shared" ca="1" si="19"/>
        <v>3728.6501137727009</v>
      </c>
      <c r="E33" s="455">
        <f t="shared" si="19"/>
        <v>340.80881169684221</v>
      </c>
      <c r="F33" s="455">
        <f t="shared" ca="1" si="19"/>
        <v>9834.5325450143155</v>
      </c>
      <c r="G33" s="455">
        <f t="shared" si="19"/>
        <v>16372.76515695389</v>
      </c>
      <c r="H33" s="455">
        <f t="shared" si="19"/>
        <v>2748.4967191063433</v>
      </c>
      <c r="I33" s="455">
        <f t="shared" si="19"/>
        <v>0</v>
      </c>
      <c r="J33" s="455">
        <f t="shared" si="19"/>
        <v>277.87952462964677</v>
      </c>
      <c r="K33" s="455">
        <f t="shared" si="19"/>
        <v>0</v>
      </c>
      <c r="L33" s="455">
        <f t="shared" ca="1" si="19"/>
        <v>0</v>
      </c>
      <c r="M33" s="455">
        <f t="shared" si="19"/>
        <v>0</v>
      </c>
      <c r="N33" s="455">
        <f t="shared" ca="1" si="19"/>
        <v>0</v>
      </c>
      <c r="O33" s="455">
        <f t="shared" si="19"/>
        <v>0</v>
      </c>
      <c r="P33" s="455">
        <f t="shared" si="19"/>
        <v>0</v>
      </c>
      <c r="Q33" s="455">
        <f t="shared" ca="1" si="19"/>
        <v>40777.054686737938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1091.7889015525432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1091.7889015525432</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0.21408844719066172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0.21408844719066172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2022-07-26T13:05:59Z</dcterms:modified>
</cp:coreProperties>
</file>