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668CA87D-A356-4A37-88AA-2378930F990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<sst xmlns="http://schemas.openxmlformats.org/spreadsheetml/2006/main" count="2513" uniqueCount="962">
  <si>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</si>
  <si>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</si>
  <si>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</si>
  <si>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</si>
  <si>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</si>
  <si>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</si>
  <si>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</si>
  <si>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</si>
  <si>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</si>
  <si>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</si>
  <si>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</si>
  <si>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</si>
  <si>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</si>
  <si>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</si>
  <si>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</si>
  <si>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</si>
  <si>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</si>
  <si>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</si>
  <si>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</si>
  <si>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</si>
  <si>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</si>
  <si>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</si>
  <si>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</si>
  <si>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</si>
  <si>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</si>
  <si>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</si>
  <si>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</si>
  <si>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</si>
  <si>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</si>
  <si>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</si>
  <si>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</si>
  <si>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</si>
  <si>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</si>
  <si>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</si>
  <si>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</si>
  <si>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</si>
  <si>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</si>
  <si>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</si>
  <si>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</si>
  <si>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</si>
  <si>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</si>
  <si>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</si>
  <si>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</si>
  <si>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</si>
  <si>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</si>
  <si>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</si>
  <si>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</si>
  <si>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</si>
  <si>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</si>
  <si>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</si>
  <si>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</si>
  <si>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</si>
  <si>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</si>
  <si>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</si>
  <si>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</si>
  <si>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</si>
  <si>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</si>
  <si>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</si>
  <si>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</si>
  <si>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</si>
  <si>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</si>
  <si>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</si>
  <si>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</si>
  <si>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</si>
  <si>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</si>
  <si>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</si>
  <si>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</si>
  <si>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</si>
  <si>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</si>
  <si>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</si>
  <si>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</si>
  <si>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</si>
  <si>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</si>
  <si>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</si>
  <si>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</si>
  <si>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</si>
  <si>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</si>
  <si>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</si>
  <si>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</si>
  <si>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</si>
  <si>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</si>
  <si>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</si>
  <si>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</si>
  <si>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</si>
  <si>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</si>
  <si>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</si>
  <si>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</si>
  <si>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</si>
  <si>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</si>
  <si>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</si>
  <si>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</si>
  <si>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</si>
  <si>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</si>
  <si>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</si>
  <si>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</si>
  <si>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</si>
  <si>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</si>
  <si>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</si>
  <si>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</si>
  <si>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</si>
  <si>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</si>
  <si>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</si>
  <si>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</si>
  <si>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</si>
  <si>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</si>
  <si>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</si>
  <si>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</si>
  <si>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</si>
  <si>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</si>
  <si>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</si>
  <si>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</si>
  <si>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</si>
  <si>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</si>
  <si>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</si>
  <si>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</si>
  <si>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</si>
  <si>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</si>
  <si>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</si>
  <si>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</si>
  <si>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</si>
  <si>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</si>
  <si>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</si>
  <si>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</si>
  <si>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</si>
  <si>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</si>
  <si>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</si>
  <si>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</si>
  <si>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</si>
  <si>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</si>
  <si>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</si>
  <si>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</si>
  <si>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</si>
  <si>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</si>
  <si>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</si>
  <si>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</si>
  <si>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</si>
  <si>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</si>
  <si>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</si>
  <si>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</si>
  <si>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</si>
  <si>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</si>
  <si>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</si>
  <si>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</si>
  <si>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</si>
  <si>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</si>
  <si>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</si>
  <si>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</si>
  <si>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</si>
  <si>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</si>
  <si>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</si>
  <si>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</si>
  <si>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</si>
  <si>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</si>
  <si>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</si>
  <si>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</si>
  <si>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</si>
  <si>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</si>
  <si>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</si>
  <si>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</si>
  <si>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</si>
  <si>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</si>
  <si>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</si>
  <si>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</si>
  <si>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</si>
  <si>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</si>
  <si>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</si>
  <si>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</si>
  <si>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</si>
  <si>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</si>
  <si>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</si>
  <si>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</si>
  <si>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</si>
  <si>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</si>
  <si>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</si>
  <si>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</si>
  <si>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</si>
  <si>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</si>
  <si>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</si>
  <si>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</si>
  <si>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</si>
  <si>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</si>
  <si>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</si>
  <si>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</si>
  <si>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</si>
  <si>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</si>
  <si>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</si>
  <si>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</si>
  <si>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</si>
  <si>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</si>
  <si>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</si>
  <si>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</si>
  <si>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</si>
  <si>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</si>
  <si>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</si>
  <si>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</si>
  <si>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</si>
  <si>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</si>
  <si>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</si>
  <si>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</si>
  <si>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</si>
  <si>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</si>
  <si>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</si>
  <si>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</si>
  <si>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</si>
  <si>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</si>
  <si>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</si>
  <si>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</si>
  <si>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</si>
  <si>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</si>
  <si>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</si>
  <si>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</si>
  <si>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</si>
  <si>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</si>
  <si>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</si>
  <si>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</si>
  <si>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</si>
  <si>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</si>
  <si>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</si>
  <si>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</si>
  <si>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</si>
  <si>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</si>
  <si>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</si>
  <si>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</si>
  <si>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</si>
  <si>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</si>
  <si>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</si>
  <si>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</si>
  <si>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</si>
  <si>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</si>
  <si>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</si>
  <si>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</si>
  <si>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</si>
  <si>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</si>
  <si>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</si>
  <si>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</si>
  <si>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</si>
  <si>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</si>
  <si>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</si>
  <si>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</si>
  <si>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</si>
  <si>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</si>
  <si>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</si>
  <si>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</si>
  <si>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</si>
  <si>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</si>
  <si>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</si>
  <si>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</si>
  <si>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</si>
  <si>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</si>
  <si>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</si>
  <si>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</si>
  <si>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</si>
  <si>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</si>
  <si>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</si>
  <si>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</si>
  <si>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</si>
  <si>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</si>
  <si>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</si>
  <si>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</si>
  <si>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</si>
  <si>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</si>
  <si>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</si>
  <si>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</si>
  <si>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</si>
  <si>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</si>
  <si>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</si>
  <si>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</si>
  <si>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</si>
  <si>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</si>
  <si>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</si>
  <si>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</si>
  <si>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</si>
  <si>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</si>
  <si>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</si>
  <si>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</si>
  <si>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</si>
  <si>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</si>
  <si>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</si>
  <si>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</si>
  <si>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</si>
  <si>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</si>
  <si>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</si>
  <si>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</si>
  <si>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</si>
  <si>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</si>
  <si>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</si>
  <si>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</si>
  <si>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</si>
  <si>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</si>
  <si>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</si>
  <si>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</si>
  <si>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</si>
  <si>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</si>
  <si>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</si>
  <si>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</si>
  <si>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</si>
  <si>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</si>
  <si>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</si>
  <si>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</si>
  <si>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</si>
  <si>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</si>
  <si>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</si>
  <si>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</si>
  <si>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</si>
  <si>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</si>
  <si>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</si>
  <si>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</si>
  <si>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</si>
  <si>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</si>
  <si>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</si>
  <si>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</si>
  <si>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</si>
  <si>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</si>
  <si>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</si>
  <si>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</si>
  <si>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</si>
  <si>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</si>
  <si>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</si>
  <si>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</si>
  <si>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</si>
  <si>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</si>
  <si>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</si>
  <si>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</si>
  <si>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</si>
  <si>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</si>
  <si>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</si>
  <si>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</si>
  <si>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</si>
  <si>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</si>
  <si>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</si>
  <si>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</si>
  <si>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</si>
  <si>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</si>
  <si>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</si>
  <si>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</si>
  <si>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</si>
  <si>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</si>
  <si>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</si>
  <si>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</si>
  <si>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</si>
  <si>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</si>
  <si>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</si>
  <si>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</si>
  <si>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</si>
  <si>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</si>
  <si>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</si>
  <si>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</si>
  <si>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</si>
  <si>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</si>
  <si>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</si>
  <si>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</si>
  <si>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</si>
  <si>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</si>
  <si>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</si>
  <si>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</si>
  <si>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</si>
  <si>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</si>
  <si>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</si>
  <si>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</si>
  <si>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</si>
  <si>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</si>
  <si>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</si>
  <si>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</si>
  <si>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</si>
  <si>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</si>
  <si>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</si>
  <si>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</si>
  <si>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</si>
  <si>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</si>
  <si>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</si>
  <si>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</si>
  <si>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</si>
  <si>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</si>
  <si>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</si>
  <si>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</si>
  <si>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</si>
  <si>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</si>
  <si>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</si>
  <si>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</si>
  <si>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</si>
  <si>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</si>
  <si>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</si>
  <si>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</si>
  <si>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</si>
  <si>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</si>
  <si>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</si>
  <si>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</si>
  <si>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</si>
  <si>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</si>
  <si>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</si>
  <si>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</si>
  <si>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</si>
  <si>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</si>
  <si>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</si>
  <si>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</si>
  <si>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</si>
  <si>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</si>
  <si>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</si>
  <si>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</si>
  <si>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</si>
  <si>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</si>
  <si>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</si>
  <si>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</si>
  <si>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</si>
  <si>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</si>
  <si>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</si>
  <si>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</si>
  <si>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</si>
  <si>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</si>
  <si>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</si>
  <si>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</si>
  <si>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</si>
  <si>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</si>
  <si>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</si>
  <si>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</si>
  <si>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</si>
  <si>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</si>
  <si>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</si>
  <si>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</si>
  <si>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</si>
  <si>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</si>
  <si>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</si>
  <si>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</si>
  <si>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</si>
  <si>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</si>
  <si>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</si>
  <si>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</si>
  <si>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</si>
  <si>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</si>
  <si>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</si>
  <si>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</si>
  <si>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</si>
  <si>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</si>
  <si>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</si>
  <si>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</si>
  <si>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</si>
  <si>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</si>
  <si>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</si>
  <si>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</si>
  <si>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</si>
  <si>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</si>
  <si>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</si>
  <si>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</si>
  <si>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</si>
  <si>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</si>
  <si>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</si>
  <si>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</si>
  <si>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</si>
  <si>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</si>
  <si>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</si>
  <si>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</si>
  <si>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</si>
  <si>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</si>
  <si>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</si>
  <si>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</si>
  <si>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</si>
  <si>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</si>
  <si>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</si>
  <si>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</si>
  <si>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</si>
  <si>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</si>
  <si>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</si>
  <si>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</si>
  <si>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</si>
  <si>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</si>
  <si>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</si>
  <si>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</si>
  <si>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</si>
  <si>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</si>
  <si>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</si>
  <si>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</si>
  <si>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</si>
  <si>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</si>
  <si>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</si>
  <si>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</si>
  <si>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</si>
  <si>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</si>
  <si>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</si>
  <si>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</si>
  <si>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</si>
  <si>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</si>
  <si>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</si>
  <si>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</si>
  <si>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</si>
  <si>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</si>
  <si>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</si>
  <si>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</si>
  <si>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</si>
  <si>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</si>
  <si>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</si>
  <si>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</si>
  <si>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</si>
  <si>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</si>
  <si>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</si>
  <si>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</si>
  <si>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</si>
  <si>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</si>
  <si>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</si>
  <si>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</si>
  <si>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</si>
  <si>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</si>
  <si>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</si>
  <si>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</si>
  <si>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</si>
  <si>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</si>
  <si>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</si>
  <si>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</si>
  <si>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</si>
  <si>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</si>
  <si>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</si>
  <si>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</si>
  <si>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</si>
  <si>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</si>
  <si>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</si>
  <si>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</si>
  <si>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</si>
  <si>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</si>
  <si>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</si>
  <si>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</si>
  <si>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</si>
  <si>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</si>
  <si>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</si>
  <si>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</si>
  <si>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</si>
  <si>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</si>
  <si>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</si>
  <si>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</si>
  <si>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</si>
  <si>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</si>
  <si>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</si>
  <si>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</si>
  <si>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</si>
  <si>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</si>
  <si>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</si>
  <si>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</si>
  <si>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</si>
  <si>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</si>
  <si>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</si>
  <si>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</si>
  <si>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</si>
  <si>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</si>
  <si>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</si>
  <si>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</si>
  <si>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</si>
  <si>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</si>
  <si>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</si>
  <si>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</si>
  <si>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</si>
  <si>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</si>
  <si>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</si>
  <si>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</si>
  <si>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</si>
  <si>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</si>
  <si>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</si>
  <si>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</si>
  <si>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</si>
  <si>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</si>
  <si>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</si>
  <si>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</si>
  <si>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</si>
  <si>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</si>
  <si>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</si>
  <si>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</si>
  <si>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</si>
  <si>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</si>
  <si>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</si>
  <si>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</si>
  <si>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</si>
  <si>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</si>
  <si>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</si>
  <si>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</si>
  <si>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</si>
  <si>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</si>
  <si>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</si>
  <si>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</si>
  <si>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</si>
  <si>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</si>
  <si>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</si>
  <si>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</si>
  <si>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</si>
  <si>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</si>
  <si>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</si>
  <si>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</si>
  <si>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</si>
  <si>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</si>
  <si>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</si>
  <si>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</si>
  <si>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</si>
  <si>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</si>
  <si>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</si>
  <si>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</si>
  <si>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</si>
  <si>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</si>
  <si>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</si>
  <si>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</si>
  <si>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</si>
  <si>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</si>
  <si>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</si>
  <si>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</si>
  <si>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</si>
  <si>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</si>
  <si>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</si>
  <si>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</si>
  <si>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</si>
  <si>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</si>
  <si>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</si>
  <si>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</si>
  <si>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</si>
  <si>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</si>
  <si>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</si>
  <si>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</si>
  <si>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</si>
  <si>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</si>
  <si>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</si>
  <si>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</si>
  <si>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</si>
  <si>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</si>
  <si>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</si>
  <si>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</si>
  <si>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</si>
  <si>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</si>
  <si>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</si>
  <si>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</si>
  <si>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</si>
  <si>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</si>
  <si>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</si>
  <si>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</si>
  <si>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</si>
  <si>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</si>
  <si>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</si>
  <si>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</si>
  <si>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</si>
  <si>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</si>
  <si>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</si>
  <si>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</si>
  <si>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</si>
  <si>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</si>
  <si>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</si>
  <si>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</si>
  <si>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</si>
  <si>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</si>
  <si>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</si>
  <si>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</si>
  <si>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</si>
  <si>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</si>
  <si>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</si>
  <si>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</si>
  <si>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</si>
  <si>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</si>
  <si>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</si>
  <si>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</si>
  <si>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</si>
  <si>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</si>
  <si>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</si>
  <si>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</si>
  <si>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</si>
  <si>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</si>
  <si>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</si>
  <si>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</si>
  <si>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</si>
  <si>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</si>
  <si>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</si>
  <si>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</si>
  <si>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</si>
  <si>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</si>
  <si>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</si>
  <si>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</si>
  <si>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</si>
  <si>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</si>
  <si>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</si>
  <si>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</si>
  <si>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</si>
  <si>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</si>
  <si>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</si>
  <si>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</si>
  <si>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</si>
  <si>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</si>
  <si>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</si>
  <si>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</si>
  <si>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</si>
  <si>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</si>
  <si>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</si>
  <si>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</si>
  <si>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</si>
  <si>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</si>
  <si>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</si>
  <si>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</si>
  <si>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</si>
  <si>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</si>
  <si>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</si>
  <si>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</si>
  <si>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</si>
  <si>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</si>
  <si>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</si>
  <si>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</si>
  <si>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</si>
  <si>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</si>
  <si>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</si>
  <si>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</si>
  <si>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</si>
  <si>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</si>
  <si>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</si>
  <si>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</si>
  <si>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</si>
  <si>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</si>
  <si>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</si>
  <si>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</si>
  <si>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</si>
  <si>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</si>
  <si>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</si>
  <si>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</si>
  <si>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</si>
  <si>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</si>
  <si>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</si>
  <si>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</si>
  <si>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</si>
  <si>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</si>
  <si>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</si>
  <si>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</si>
  <si>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</si>
  <si>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</si>
  <si>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</si>
  <si>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</si>
  <si>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</si>
  <si>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</si>
  <si>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</si>
  <si>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</si>
  <si>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</si>
  <si>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</si>
  <si>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</si>
  <si>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</si>
  <si>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</si>
  <si>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</si>
  <si>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</si>
  <si>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</si>
  <si>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</si>
  <si>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</si>
  <si>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</si>
  <si>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</si>
  <si>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</si>
  <si>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</si>
  <si>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</si>
  <si>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</si>
  <si>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</si>
  <si>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</si>
  <si>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</si>
  <si>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</si>
  <si>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</si>
  <si>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</si>
  <si>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</si>
  <si>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</si>
  <si>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</si>
  <si>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</si>
  <si>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</si>
  <si>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</si>
  <si>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</si>
  <si>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</si>
  <si>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</si>
  <si>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</si>
  <si>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</si>
  <si>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</si>
  <si>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</si>
  <si>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</si>
  <si>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</si>
  <si>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</si>
  <si>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</si>
  <si>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</si>
  <si>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</si>
  <si>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</si>
  <si>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</si>
  <si>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</si>
  <si>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</si>
  <si>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</si>
  <si>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</si>
  <si>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</si>
  <si>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</si>
  <si>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</si>
  <si>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</si>
  <si>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</si>
  <si>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</si>
  <si>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</si>
  <si>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</si>
  <si>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</si>
  <si>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</si>
  <si>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</si>
  <si>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</si>
  <si>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</si>
  <si>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</si>
  <si>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</si>
  <si>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</si>
  <si>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</si>
  <si>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</si>
  <si>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</si>
  <si>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</si>
  <si>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</si>
  <si>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</si>
  <si>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</si>
  <si>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</si>
  <si>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</si>
  <si>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</si>
  <si>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</si>
  <si>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</si>
  <si>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</si>
  <si>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</si>
  <si>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</si>
  <si>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</si>
  <si>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</si>
  <si>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</si>
  <si>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</si>
  <si>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</si>
  <si>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</si>
  <si>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</si>
  <si>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</si>
  <si>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</si>
  <si>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</si>
  <si>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</si>
  <si>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</si>
  <si>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</si>
  <si>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</si>
  <si>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</si>
  <si>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</si>
  <si>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</si>
  <si>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</si>
  <si>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</si>
  <si>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</si>
  <si>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</si>
  <si>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</si>
  <si>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</si>
  <si>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</si>
  <si>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</si>
  <si>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</si>
  <si>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</si>
  <si>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</si>
  <si>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</si>
  <si>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</si>
  <si>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</si>
  <si>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</si>
  <si>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</si>
  <si>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</si>
  <si>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</si>
  <si>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</si>
  <si>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</si>
  <si>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</si>
  <si>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</si>
  <si>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</si>
  <si>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</si>
  <si>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</si>
  <si>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</si>
  <si>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</si>
  <si>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</si>
  <si>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</si>
  <si>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</si>
  <si>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</si>
  <si>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</si>
  <si>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</si>
  <si>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</si>
  <si>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</si>
  <si>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</si>
  <si>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</si>
  <si>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</si>
  <si>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</si>
  <si>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</si>
  <si>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</si>
  <si>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</si>
  <si>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</si>
  <si>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</si>
  <si>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</si>
  <si>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</si>
  <si>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</si>
  <si>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</si>
  <si>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</si>
  <si>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</si>
  <si>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</si>
  <si>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</si>
  <si>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</si>
  <si>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</si>
  <si>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</si>
  <si>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</si>
  <si>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</si>
  <si>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</si>
  <si>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</si>
  <si>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</si>
  <si>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</si>
  <si>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</si>
  <si>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</si>
  <si>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</si>
  <si>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</si>
  <si>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</si>
  <si>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</si>
  <si>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</si>
  <si>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</si>
  <si>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</si>
  <si>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</si>
  <si>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</si>
  <si>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</si>
  <si>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</si>
  <si>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</si>
  <si>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</si>
  <si>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</si>
  <si>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</si>
  <si>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</si>
  <si>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</si>
  <si>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</si>
  <si>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</si>
  <si>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</si>
  <si>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</si>
  <si>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</si>
  <si>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</si>
  <si>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</si>
  <si>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</si>
  <si>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</si>
  <si>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</si>
  <si>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</si>
  <si>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</si>
  <si>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</si>
  <si>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</si>
  <si>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</si>
  <si>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</si>
  <si>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</si>
  <si>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</si>
  <si>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</si>
  <si>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</si>
  <si>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</si>
  <si>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</si>
  <si>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</si>
  <si>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</si>
  <si>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</si>
  <si>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</si>
  <si>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</si>
  <si>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</si>
  <si>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</si>
  <si>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</si>
  <si>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</si>
  <si>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</si>
  <si>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</si>
  <si>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</si>
  <si>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</si>
  <si>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</si>
  <si>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</si>
  <si>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</si>
  <si>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</si>
  <si>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</si>
  <si>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</si>
  <si>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</si>
  <si>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</si>
  <si>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</si>
  <si>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</si>
  <si>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</si>
  <si>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</si>
  <si>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</si>
  <si>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</si>
  <si>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</si>
  <si>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</si>
  <si>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</si>
  <si>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</si>
  <si>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</si>
  <si>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</si>
  <si>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71066</t>
  </si>
  <si>
    <t>ZONHOVEN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</si>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</sst>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9DB9A0AA-92A5-491F-8201-0F72A2861694}"/>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71066</v>
      </c>
      <c r="B6" s="382"/>
      <c r="C6" s="383"/>
    </row>
    <row r="7" spans="1:7" s="380" customFormat="1" ht="15.75" customHeight="1">
      <c r="A7" s="384" t="str">
        <f>txtMunicipality</f>
        <v>ZONHOVEN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0.21212113756761292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0.21212113756761292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8091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881</v>
      </c>
      <c r="C14" s="324"/>
      <c r="D14" s="324"/>
      <c r="E14" s="324"/>
      <c r="F14" s="324"/>
    </row>
    <row r="15" spans="1:6">
      <c r="A15" s="1235" t="s">
        <v>177</v>
      </c>
      <c r="B15" s="1236">
        <v>4</v>
      </c>
      <c r="C15" s="324"/>
      <c r="D15" s="324"/>
      <c r="E15" s="324"/>
      <c r="F15" s="324"/>
    </row>
    <row r="16" spans="1:6">
      <c r="A16" s="1235" t="s">
        <v>6</v>
      </c>
      <c r="B16" s="1236">
        <v>31</v>
      </c>
      <c r="C16" s="324"/>
      <c r="D16" s="324"/>
      <c r="E16" s="324"/>
      <c r="F16" s="324"/>
    </row>
    <row r="17" spans="1:6">
      <c r="A17" s="1235" t="s">
        <v>7</v>
      </c>
      <c r="B17" s="1236">
        <v>152</v>
      </c>
      <c r="C17" s="324"/>
      <c r="D17" s="324"/>
      <c r="E17" s="324"/>
      <c r="F17" s="324"/>
    </row>
    <row r="18" spans="1:6">
      <c r="A18" s="1235" t="s">
        <v>8</v>
      </c>
      <c r="B18" s="1236">
        <v>139</v>
      </c>
      <c r="C18" s="324"/>
      <c r="D18" s="324"/>
      <c r="E18" s="324"/>
      <c r="F18" s="324"/>
    </row>
    <row r="19" spans="1:6">
      <c r="A19" s="1235" t="s">
        <v>9</v>
      </c>
      <c r="B19" s="1236">
        <v>156</v>
      </c>
      <c r="C19" s="324"/>
      <c r="D19" s="324"/>
      <c r="E19" s="324"/>
      <c r="F19" s="324"/>
    </row>
    <row r="20" spans="1:6">
      <c r="A20" s="1235" t="s">
        <v>10</v>
      </c>
      <c r="B20" s="1236">
        <v>174</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38</v>
      </c>
      <c r="C29" s="324"/>
      <c r="D29" s="324"/>
      <c r="E29" s="324"/>
      <c r="F29" s="324"/>
    </row>
    <row r="30" spans="1:6">
      <c r="A30" s="1230" t="s">
        <v>960</v>
      </c>
      <c r="B30" s="1238">
        <v>3</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5</v>
      </c>
      <c r="F36" s="1236">
        <v>383049</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3330</v>
      </c>
      <c r="D39" s="1236">
        <v>59640701</v>
      </c>
      <c r="E39" s="1236">
        <v>8143</v>
      </c>
      <c r="F39" s="1236">
        <v>36738424</v>
      </c>
    </row>
    <row r="40" spans="1:6">
      <c r="A40" s="1235" t="s">
        <v>29</v>
      </c>
      <c r="B40" s="1235" t="s">
        <v>28</v>
      </c>
      <c r="C40" s="1236">
        <v>0</v>
      </c>
      <c r="D40" s="1236">
        <v>0</v>
      </c>
      <c r="E40" s="1236">
        <v>0</v>
      </c>
      <c r="F40" s="1236">
        <v>0</v>
      </c>
    </row>
    <row r="41" spans="1:6">
      <c r="A41" s="1235" t="s">
        <v>31</v>
      </c>
      <c r="B41" s="1235" t="s">
        <v>32</v>
      </c>
      <c r="C41" s="1236">
        <v>53</v>
      </c>
      <c r="D41" s="1236">
        <v>1880118</v>
      </c>
      <c r="E41" s="1236">
        <v>132</v>
      </c>
      <c r="F41" s="1236">
        <v>1419354</v>
      </c>
    </row>
    <row r="42" spans="1:6">
      <c r="A42" s="1235" t="s">
        <v>31</v>
      </c>
      <c r="B42" s="1235" t="s">
        <v>33</v>
      </c>
      <c r="C42" s="1236">
        <v>0</v>
      </c>
      <c r="D42" s="1236">
        <v>0</v>
      </c>
      <c r="E42" s="1236">
        <v>0</v>
      </c>
      <c r="F42" s="1236">
        <v>0</v>
      </c>
    </row>
    <row r="43" spans="1:6">
      <c r="A43" s="1235" t="s">
        <v>31</v>
      </c>
      <c r="B43" s="1235" t="s">
        <v>34</v>
      </c>
      <c r="C43" s="1236">
        <v>3</v>
      </c>
      <c r="D43" s="1236">
        <v>210590</v>
      </c>
      <c r="E43" s="1236">
        <v>0</v>
      </c>
      <c r="F43" s="1236">
        <v>0</v>
      </c>
    </row>
    <row r="44" spans="1:6">
      <c r="A44" s="1235" t="s">
        <v>31</v>
      </c>
      <c r="B44" s="1235" t="s">
        <v>35</v>
      </c>
      <c r="C44" s="1236">
        <v>8</v>
      </c>
      <c r="D44" s="1236">
        <v>767101</v>
      </c>
      <c r="E44" s="1236">
        <v>26</v>
      </c>
      <c r="F44" s="1236">
        <v>15969895</v>
      </c>
    </row>
    <row r="45" spans="1:6">
      <c r="A45" s="1235" t="s">
        <v>31</v>
      </c>
      <c r="B45" s="1235" t="s">
        <v>36</v>
      </c>
      <c r="C45" s="1236">
        <v>4</v>
      </c>
      <c r="D45" s="1236">
        <v>233018</v>
      </c>
      <c r="E45" s="1236">
        <v>6</v>
      </c>
      <c r="F45" s="1236">
        <v>162119</v>
      </c>
    </row>
    <row r="46" spans="1:6">
      <c r="A46" s="1235" t="s">
        <v>31</v>
      </c>
      <c r="B46" s="1235" t="s">
        <v>37</v>
      </c>
      <c r="C46" s="1236">
        <v>0</v>
      </c>
      <c r="D46" s="1236">
        <v>0</v>
      </c>
      <c r="E46" s="1236">
        <v>0</v>
      </c>
      <c r="F46" s="1236">
        <v>0</v>
      </c>
    </row>
    <row r="47" spans="1:6">
      <c r="A47" s="1235" t="s">
        <v>31</v>
      </c>
      <c r="B47" s="1235" t="s">
        <v>38</v>
      </c>
      <c r="C47" s="1236">
        <v>3</v>
      </c>
      <c r="D47" s="1236">
        <v>136804</v>
      </c>
      <c r="E47" s="1236">
        <v>6</v>
      </c>
      <c r="F47" s="1236">
        <v>93899</v>
      </c>
    </row>
    <row r="48" spans="1:6">
      <c r="A48" s="1235" t="s">
        <v>31</v>
      </c>
      <c r="B48" s="1235" t="s">
        <v>28</v>
      </c>
      <c r="C48" s="1236">
        <v>1</v>
      </c>
      <c r="D48" s="1236">
        <v>193748</v>
      </c>
      <c r="E48" s="1236">
        <v>2</v>
      </c>
      <c r="F48" s="1236">
        <v>58276</v>
      </c>
    </row>
    <row r="49" spans="1:6">
      <c r="A49" s="1235" t="s">
        <v>31</v>
      </c>
      <c r="B49" s="1235" t="s">
        <v>39</v>
      </c>
      <c r="C49" s="1236">
        <v>0</v>
      </c>
      <c r="D49" s="1236">
        <v>0</v>
      </c>
      <c r="E49" s="1236">
        <v>4</v>
      </c>
      <c r="F49" s="1236">
        <v>47457</v>
      </c>
    </row>
    <row r="50" spans="1:6">
      <c r="A50" s="1235" t="s">
        <v>31</v>
      </c>
      <c r="B50" s="1235" t="s">
        <v>40</v>
      </c>
      <c r="C50" s="1236">
        <v>8</v>
      </c>
      <c r="D50" s="1236">
        <v>97108058</v>
      </c>
      <c r="E50" s="1236">
        <v>16</v>
      </c>
      <c r="F50" s="1236">
        <v>22286906</v>
      </c>
    </row>
    <row r="51" spans="1:6">
      <c r="A51" s="1235" t="s">
        <v>41</v>
      </c>
      <c r="B51" s="1235" t="s">
        <v>42</v>
      </c>
      <c r="C51" s="1236">
        <v>5</v>
      </c>
      <c r="D51" s="1236">
        <v>124502</v>
      </c>
      <c r="E51" s="1236">
        <v>19</v>
      </c>
      <c r="F51" s="1236">
        <v>163956</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84</v>
      </c>
      <c r="F54" s="1236">
        <v>1304064</v>
      </c>
    </row>
    <row r="55" spans="1:6">
      <c r="A55" s="1235" t="s">
        <v>45</v>
      </c>
      <c r="B55" s="1235" t="s">
        <v>28</v>
      </c>
      <c r="C55" s="1236">
        <v>0</v>
      </c>
      <c r="D55" s="1236">
        <v>0</v>
      </c>
      <c r="E55" s="1236">
        <v>0</v>
      </c>
      <c r="F55" s="1236">
        <v>0</v>
      </c>
    </row>
    <row r="56" spans="1:6">
      <c r="A56" s="1235" t="s">
        <v>47</v>
      </c>
      <c r="B56" s="1235" t="s">
        <v>28</v>
      </c>
      <c r="C56" s="1236">
        <v>51</v>
      </c>
      <c r="D56" s="1236">
        <v>2709623</v>
      </c>
      <c r="E56" s="1236">
        <v>146</v>
      </c>
      <c r="F56" s="1236">
        <v>1238806</v>
      </c>
    </row>
    <row r="57" spans="1:6">
      <c r="A57" s="1235" t="s">
        <v>48</v>
      </c>
      <c r="B57" s="1235" t="s">
        <v>49</v>
      </c>
      <c r="C57" s="1236">
        <v>37</v>
      </c>
      <c r="D57" s="1236">
        <v>1311919</v>
      </c>
      <c r="E57" s="1236">
        <v>75</v>
      </c>
      <c r="F57" s="1236">
        <v>1903114</v>
      </c>
    </row>
    <row r="58" spans="1:6">
      <c r="A58" s="1235" t="s">
        <v>48</v>
      </c>
      <c r="B58" s="1235" t="s">
        <v>50</v>
      </c>
      <c r="C58" s="1236">
        <v>19</v>
      </c>
      <c r="D58" s="1236">
        <v>1509664</v>
      </c>
      <c r="E58" s="1236">
        <v>36</v>
      </c>
      <c r="F58" s="1236">
        <v>1679592</v>
      </c>
    </row>
    <row r="59" spans="1:6">
      <c r="A59" s="1235" t="s">
        <v>48</v>
      </c>
      <c r="B59" s="1235" t="s">
        <v>51</v>
      </c>
      <c r="C59" s="1236">
        <v>84</v>
      </c>
      <c r="D59" s="1236">
        <v>6322400</v>
      </c>
      <c r="E59" s="1236">
        <v>204</v>
      </c>
      <c r="F59" s="1236">
        <v>7246804</v>
      </c>
    </row>
    <row r="60" spans="1:6">
      <c r="A60" s="1235" t="s">
        <v>48</v>
      </c>
      <c r="B60" s="1235" t="s">
        <v>52</v>
      </c>
      <c r="C60" s="1236">
        <v>33</v>
      </c>
      <c r="D60" s="1236">
        <v>1823614</v>
      </c>
      <c r="E60" s="1236">
        <v>63</v>
      </c>
      <c r="F60" s="1236">
        <v>2040093</v>
      </c>
    </row>
    <row r="61" spans="1:6">
      <c r="A61" s="1235" t="s">
        <v>48</v>
      </c>
      <c r="B61" s="1235" t="s">
        <v>53</v>
      </c>
      <c r="C61" s="1236">
        <v>100</v>
      </c>
      <c r="D61" s="1236">
        <v>4808671</v>
      </c>
      <c r="E61" s="1236">
        <v>352</v>
      </c>
      <c r="F61" s="1236">
        <v>3580907</v>
      </c>
    </row>
    <row r="62" spans="1:6">
      <c r="A62" s="1235" t="s">
        <v>48</v>
      </c>
      <c r="B62" s="1235" t="s">
        <v>54</v>
      </c>
      <c r="C62" s="1236">
        <v>12</v>
      </c>
      <c r="D62" s="1236">
        <v>1697274</v>
      </c>
      <c r="E62" s="1236">
        <v>15</v>
      </c>
      <c r="F62" s="1236">
        <v>420362</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8</v>
      </c>
      <c r="D68" s="1238">
        <v>210048</v>
      </c>
      <c r="E68" s="1238">
        <v>10</v>
      </c>
      <c r="F68" s="1238">
        <v>109869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51550324</v>
      </c>
      <c r="E73" s="443"/>
      <c r="F73" s="324"/>
    </row>
    <row r="74" spans="1:6">
      <c r="A74" s="1235" t="s">
        <v>63</v>
      </c>
      <c r="B74" s="1235" t="s">
        <v>730</v>
      </c>
      <c r="C74" s="1248" t="s">
        <v>731</v>
      </c>
      <c r="D74" s="1236">
        <v>5291633.3802462909</v>
      </c>
      <c r="E74" s="443"/>
      <c r="F74" s="324"/>
    </row>
    <row r="75" spans="1:6">
      <c r="A75" s="1235" t="s">
        <v>64</v>
      </c>
      <c r="B75" s="1235" t="s">
        <v>728</v>
      </c>
      <c r="C75" s="1248" t="s">
        <v>732</v>
      </c>
      <c r="D75" s="1236">
        <v>29045382</v>
      </c>
      <c r="E75" s="443"/>
      <c r="F75" s="324"/>
    </row>
    <row r="76" spans="1:6">
      <c r="A76" s="1235" t="s">
        <v>64</v>
      </c>
      <c r="B76" s="1235" t="s">
        <v>730</v>
      </c>
      <c r="C76" s="1248" t="s">
        <v>733</v>
      </c>
      <c r="D76" s="1236">
        <v>1051761.3802462912</v>
      </c>
      <c r="E76" s="443"/>
      <c r="F76" s="324"/>
    </row>
    <row r="77" spans="1:6">
      <c r="A77" s="1235" t="s">
        <v>65</v>
      </c>
      <c r="B77" s="1235" t="s">
        <v>728</v>
      </c>
      <c r="C77" s="1248" t="s">
        <v>734</v>
      </c>
      <c r="D77" s="1236">
        <v>153015538</v>
      </c>
      <c r="E77" s="443"/>
      <c r="F77" s="324"/>
    </row>
    <row r="78" spans="1:6">
      <c r="A78" s="1230" t="s">
        <v>65</v>
      </c>
      <c r="B78" s="1230" t="s">
        <v>730</v>
      </c>
      <c r="C78" s="1230" t="s">
        <v>735</v>
      </c>
      <c r="D78" s="1238">
        <v>27128888</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745025.23950741766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2898.0954357822839</v>
      </c>
      <c r="C91" s="324"/>
      <c r="D91" s="324"/>
      <c r="E91" s="324"/>
      <c r="F91" s="324"/>
    </row>
    <row r="92" spans="1:6">
      <c r="A92" s="1230" t="s">
        <v>68</v>
      </c>
      <c r="B92" s="1231">
        <v>1090.0526969468756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1089</v>
      </c>
      <c r="C97" s="324"/>
      <c r="D97" s="324"/>
      <c r="E97" s="324"/>
      <c r="F97" s="324"/>
    </row>
    <row r="98" spans="1:6">
      <c r="A98" s="1235" t="s">
        <v>71</v>
      </c>
      <c r="B98" s="1236">
        <v>2</v>
      </c>
      <c r="C98" s="324"/>
      <c r="D98" s="324"/>
      <c r="E98" s="324"/>
      <c r="F98" s="324"/>
    </row>
    <row r="99" spans="1:6">
      <c r="A99" s="1235" t="s">
        <v>72</v>
      </c>
      <c r="B99" s="1236">
        <v>66</v>
      </c>
      <c r="C99" s="324"/>
      <c r="D99" s="324"/>
      <c r="E99" s="324"/>
      <c r="F99" s="324"/>
    </row>
    <row r="100" spans="1:6">
      <c r="A100" s="1235" t="s">
        <v>73</v>
      </c>
      <c r="B100" s="1236">
        <v>340</v>
      </c>
      <c r="C100" s="324"/>
      <c r="D100" s="324"/>
      <c r="E100" s="324"/>
      <c r="F100" s="324"/>
    </row>
    <row r="101" spans="1:6">
      <c r="A101" s="1235" t="s">
        <v>74</v>
      </c>
      <c r="B101" s="1236">
        <v>51</v>
      </c>
      <c r="C101" s="324"/>
      <c r="D101" s="324"/>
      <c r="E101" s="324"/>
      <c r="F101" s="324"/>
    </row>
    <row r="102" spans="1:6">
      <c r="A102" s="1235" t="s">
        <v>75</v>
      </c>
      <c r="B102" s="1236">
        <v>60</v>
      </c>
      <c r="C102" s="324"/>
      <c r="D102" s="324"/>
      <c r="E102" s="324"/>
      <c r="F102" s="324"/>
    </row>
    <row r="103" spans="1:6">
      <c r="A103" s="1235" t="s">
        <v>76</v>
      </c>
      <c r="B103" s="1236">
        <v>141</v>
      </c>
      <c r="C103" s="324"/>
      <c r="D103" s="324"/>
      <c r="E103" s="324"/>
      <c r="F103" s="324"/>
    </row>
    <row r="104" spans="1:6">
      <c r="A104" s="1235" t="s">
        <v>77</v>
      </c>
      <c r="B104" s="1236">
        <v>5249</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22</v>
      </c>
      <c r="C123" s="1236">
        <v>6</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58</v>
      </c>
      <c r="C129" s="324"/>
      <c r="D129" s="324"/>
      <c r="E129" s="324"/>
      <c r="F129" s="324"/>
    </row>
    <row r="130" spans="1:6">
      <c r="A130" s="1235" t="s">
        <v>284</v>
      </c>
      <c r="B130" s="1236">
        <v>0</v>
      </c>
      <c r="C130" s="324"/>
      <c r="D130" s="324"/>
      <c r="E130" s="324"/>
      <c r="F130" s="324"/>
    </row>
    <row r="131" spans="1:6">
      <c r="A131" s="1235" t="s">
        <v>285</v>
      </c>
      <c r="B131" s="1236">
        <v>2</v>
      </c>
      <c r="C131" s="324"/>
      <c r="D131" s="324"/>
      <c r="E131" s="324"/>
      <c r="F131" s="324"/>
    </row>
    <row r="132" spans="1:6">
      <c r="A132" s="1230" t="s">
        <v>286</v>
      </c>
      <c r="B132" s="1231">
        <v>9</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99267.304121997324</v>
      </c>
      <c r="C3" s="43" t="s">
        <v>163</v>
      </c>
      <c r="D3" s="43"/>
      <c r="E3" s="155"/>
      <c r="F3" s="43"/>
      <c r="G3" s="43"/>
      <c r="H3" s="43"/>
      <c r="I3" s="43"/>
      <c r="J3" s="43"/>
      <c r="K3" s="96"/>
    </row>
    <row r="4" spans="1:11">
      <c r="A4" s="350" t="s">
        <v>164</v>
      </c>
      <c r="B4" s="49">
        <f>IF(ISERROR('SEAP template'!B78+'SEAP template'!C78),0,'SEAP template'!B78+'SEAP template'!C78)</f>
        <v>3988.1481327291594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0.21212113756761292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1304.0640000000001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1304.0640000000001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0.21212113756761292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276.6195391409716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36738.423999999999</v>
      </c>
      <c r="C5" s="17">
        <f>IF(ISERROR('Eigen informatie GS &amp; warmtenet'!B57),0,'Eigen informatie GS &amp; warmtenet'!B57)</f>
        <v>0</v>
      </c>
      <c r="D5" s="30">
        <f>(SUM(HH_hh_gas_kWh,HH_rest_gas_kWh)/1000)*0.902</f>
        <v>53795.912302000004</v>
      </c>
      <c r="E5" s="17">
        <f>B32*B41</f>
        <v>2363.4583584887109</v>
      </c>
      <c r="F5" s="17">
        <f>B36*B45</f>
        <v>80675.222690823954</v>
      </c>
      <c r="G5" s="18"/>
      <c r="H5" s="17"/>
      <c r="I5" s="17"/>
      <c r="J5" s="17">
        <f>B35*B44+C35*C44</f>
        <v>1816.601480139283</v>
      </c>
      <c r="K5" s="17"/>
      <c r="L5" s="17"/>
      <c r="M5" s="17"/>
      <c r="N5" s="17">
        <f>B34*B43+C34*C43</f>
        <v>10301.557468673327</v>
      </c>
      <c r="O5" s="17">
        <f>B52*B53*B54</f>
        <v>101.61666666666667</v>
      </c>
      <c r="P5" s="17">
        <f>B60*B61*B62/1000-B60*B61*B62/1000/B63</f>
        <v>591.06666666666661</v>
      </c>
    </row>
    <row r="6" spans="1:16">
      <c r="A6" s="16" t="s">
        <v>591</v>
      </c>
      <c r="B6" s="727">
        <f>kWh_PV_kleiner_dan_10kW</f>
        <v>2898.0954357822839</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39636.519435782284</v>
      </c>
      <c r="C8" s="21">
        <f>C5</f>
        <v>0</v>
      </c>
      <c r="D8" s="21">
        <f>D5</f>
        <v>53795.912302000004</v>
      </c>
      <c r="E8" s="21">
        <f>E5</f>
        <v>2363.4583584887109</v>
      </c>
      <c r="F8" s="21">
        <f>F5</f>
        <v>80675.222690823954</v>
      </c>
      <c r="G8" s="21"/>
      <c r="H8" s="21"/>
      <c r="I8" s="21"/>
      <c r="J8" s="21">
        <f>J5</f>
        <v>1816.601480139283</v>
      </c>
      <c r="K8" s="21"/>
      <c r="L8" s="21">
        <f>L5</f>
        <v>0</v>
      </c>
      <c r="M8" s="21">
        <f>M5</f>
        <v>0</v>
      </c>
      <c r="N8" s="21">
        <f>N5</f>
        <v>10301.557468673327</v>
      </c>
      <c r="O8" s="21">
        <f>O5</f>
        <v>101.61666666666667</v>
      </c>
      <c r="P8" s="21">
        <f>P5</f>
        <v>591.06666666666661</v>
      </c>
    </row>
    <row r="9" spans="1:16">
      <c r="B9" s="19"/>
      <c r="C9" s="19"/>
      <c r="D9" s="255"/>
      <c r="E9" s="19"/>
      <c r="F9" s="19"/>
      <c r="G9" s="19"/>
      <c r="H9" s="19"/>
      <c r="I9" s="19"/>
      <c r="J9" s="19"/>
      <c r="K9" s="19"/>
      <c r="L9" s="19"/>
      <c r="M9" s="19"/>
      <c r="N9" s="19"/>
      <c r="O9" s="19"/>
      <c r="P9" s="19"/>
    </row>
    <row r="10" spans="1:16">
      <c r="A10" s="24" t="s">
        <v>207</v>
      </c>
      <c r="B10" s="25">
        <f ca="1">'EF ele_warmte'!B12</f>
        <v>0.21212113756761292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8407.7435919389372</v>
      </c>
      <c r="C12" s="23">
        <f ca="1">C10*C8</f>
        <v>0</v>
      </c>
      <c r="D12" s="23">
        <f>D8*D10</f>
        <v>10866.774285004001</v>
      </c>
      <c r="E12" s="23">
        <f>E10*E8</f>
        <v>536.50504737693745</v>
      </c>
      <c r="F12" s="23">
        <f>F10*F8</f>
        <v>21540.284458449998</v>
      </c>
      <c r="G12" s="23"/>
      <c r="H12" s="23"/>
      <c r="I12" s="23"/>
      <c r="J12" s="23">
        <f>J10*J8</f>
        <v>643.07692396930611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8091</v>
      </c>
      <c r="C26" s="36"/>
      <c r="D26" s="225"/>
    </row>
    <row r="27" spans="1:5" s="15" customFormat="1">
      <c r="A27" s="227" t="s">
        <v>671</v>
      </c>
      <c r="B27" s="37">
        <f>SUM(HH_hh_gas_aantal,HH_rest_gas_aantal)</f>
        <v>3330</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3163.5</v>
      </c>
      <c r="C31" s="34" t="s">
        <v>104</v>
      </c>
      <c r="D31" s="171"/>
    </row>
    <row r="32" spans="1:5">
      <c r="A32" s="168" t="s">
        <v>72</v>
      </c>
      <c r="B32" s="33">
        <f>IF((B21*($B$26-($B$27-0.05*$B$27)-$B$60))&lt;0,0,B21*($B$26-($B$27-0.05*$B$27)-$B$60))</f>
        <v>34.714072901177921</v>
      </c>
      <c r="C32" s="34" t="s">
        <v>104</v>
      </c>
      <c r="D32" s="171"/>
    </row>
    <row r="33" spans="1:6">
      <c r="A33" s="168" t="s">
        <v>73</v>
      </c>
      <c r="B33" s="33">
        <f>IF((B22*($B$26-($B$27-0.05*$B$27)-$B$60))&lt;0,0,B22*($B$26-($B$27-0.05*$B$27)-$B$60))</f>
        <v>994.90060634464362</v>
      </c>
      <c r="C33" s="34" t="s">
        <v>104</v>
      </c>
      <c r="D33" s="171"/>
    </row>
    <row r="34" spans="1:6">
      <c r="A34" s="168" t="s">
        <v>74</v>
      </c>
      <c r="B34" s="33">
        <f>IF((B24*($B$26-($B$27-0.05*$B$27)-$B$60))&lt;0,0,B24*($B$26-($B$27-0.05*$B$27)-$B$60))</f>
        <v>198.39369533220662</v>
      </c>
      <c r="C34" s="33">
        <f>B26*C24</f>
        <v>1654.4283807804238</v>
      </c>
      <c r="D34" s="230"/>
    </row>
    <row r="35" spans="1:6">
      <c r="A35" s="168" t="s">
        <v>76</v>
      </c>
      <c r="B35" s="33">
        <f>IF((B19*($B$26-($B$27-0.05*$B$27)-$B$60))&lt;0,0,B19*($B$26-($B$27-0.05*$B$27)-$B$60))</f>
        <v>103.31569315826763</v>
      </c>
      <c r="C35" s="33">
        <f>B35/2</f>
        <v>51.657846579133817</v>
      </c>
      <c r="D35" s="230"/>
    </row>
    <row r="36" spans="1:6">
      <c r="A36" s="168" t="s">
        <v>77</v>
      </c>
      <c r="B36" s="33">
        <f>IF((B18*($B$26-($B$27-0.05*$B$27)-$B$60))&lt;0,0,B18*($B$26-($B$27-0.05*$B$27)-$B$60))</f>
        <v>3565.175932263704</v>
      </c>
      <c r="C36" s="34" t="s">
        <v>104</v>
      </c>
      <c r="D36" s="171"/>
    </row>
    <row r="37" spans="1:6">
      <c r="A37" s="168" t="s">
        <v>78</v>
      </c>
      <c r="B37" s="33">
        <f>B60</f>
        <v>31</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65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31</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16870.872000000003</v>
      </c>
      <c r="C5" s="17">
        <f>IF(ISERROR('Eigen informatie GS &amp; warmtenet'!B58),0,'Eigen informatie GS &amp; warmtenet'!B58)</f>
        <v>0</v>
      </c>
      <c r="D5" s="30">
        <f>SUM(D6:D12)</f>
        <v>15761.134883999999</v>
      </c>
      <c r="E5" s="17">
        <f>SUM(E6:E12)</f>
        <v>285.05514352609515</v>
      </c>
      <c r="F5" s="17">
        <f>SUM(F6:F12)</f>
        <v>3355.1920544754662</v>
      </c>
      <c r="G5" s="18"/>
      <c r="H5" s="17"/>
      <c r="I5" s="17"/>
      <c r="J5" s="17">
        <f>SUM(J6:J12)</f>
        <v>0</v>
      </c>
      <c r="K5" s="17"/>
      <c r="L5" s="17"/>
      <c r="M5" s="17"/>
      <c r="N5" s="17">
        <f>SUM(N6:N12)</f>
        <v>469.71229958393599</v>
      </c>
      <c r="O5" s="17">
        <f>B38*B39*B40</f>
        <v>0</v>
      </c>
      <c r="P5" s="17">
        <f>B46*B47*B48/1000-B46*B47*B48/1000/B49</f>
        <v>38.133333333333333</v>
      </c>
      <c r="R5" s="32"/>
    </row>
    <row r="6" spans="1:18">
      <c r="A6" s="32" t="s">
        <v>53</v>
      </c>
      <c r="B6" s="37">
        <f>B26</f>
        <v>3580.9070000000002</v>
      </c>
      <c r="C6" s="33"/>
      <c r="D6" s="37">
        <f>IF(ISERROR(TER_kantoor_gas_kWh/1000),0,TER_kantoor_gas_kWh/1000)*0.902</f>
        <v>4337.4212420000003</v>
      </c>
      <c r="E6" s="33">
        <f>$C$26*'E Balans VL '!I12/100/3.6*1000000</f>
        <v>123.87077415017747</v>
      </c>
      <c r="F6" s="33">
        <f>$C$26*('E Balans VL '!L12+'E Balans VL '!N12)/100/3.6*1000000</f>
        <v>546.66347726627123</v>
      </c>
      <c r="G6" s="34"/>
      <c r="H6" s="33"/>
      <c r="I6" s="33"/>
      <c r="J6" s="33">
        <f>$C$26*('E Balans VL '!D12+'E Balans VL '!E12)/100/3.6*1000000</f>
        <v>0</v>
      </c>
      <c r="K6" s="33"/>
      <c r="L6" s="33"/>
      <c r="M6" s="33"/>
      <c r="N6" s="33">
        <f>$C$26*'E Balans VL '!Y12/100/3.6*1000000</f>
        <v>55.201383649816982</v>
      </c>
      <c r="O6" s="33"/>
      <c r="P6" s="33"/>
      <c r="R6" s="32"/>
    </row>
    <row r="7" spans="1:18">
      <c r="A7" s="32" t="s">
        <v>52</v>
      </c>
      <c r="B7" s="37">
        <f t="shared" ref="B7:B12" si="0">B27</f>
        <v>2040.0930000000001</v>
      </c>
      <c r="C7" s="33"/>
      <c r="D7" s="37">
        <f>IF(ISERROR(TER_horeca_gas_kWh/1000),0,TER_horeca_gas_kWh/1000)*0.902</f>
        <v>1644.8998280000001</v>
      </c>
      <c r="E7" s="33">
        <f>$C$27*'E Balans VL '!I9/100/3.6*1000000</f>
        <v>111.80357906698323</v>
      </c>
      <c r="F7" s="33">
        <f>$C$27*('E Balans VL '!L9+'E Balans VL '!N9)/100/3.6*1000000</f>
        <v>345.25197640365172</v>
      </c>
      <c r="G7" s="34"/>
      <c r="H7" s="33"/>
      <c r="I7" s="33"/>
      <c r="J7" s="33">
        <f>$C$27*('E Balans VL '!D9+'E Balans VL '!E9)/100/3.6*1000000</f>
        <v>0</v>
      </c>
      <c r="K7" s="33"/>
      <c r="L7" s="33"/>
      <c r="M7" s="33"/>
      <c r="N7" s="33">
        <f>$C$27*'E Balans VL '!Y9/100/3.6*1000000</f>
        <v>0</v>
      </c>
      <c r="O7" s="33"/>
      <c r="P7" s="33"/>
      <c r="R7" s="32"/>
    </row>
    <row r="8" spans="1:18">
      <c r="A8" s="6" t="s">
        <v>51</v>
      </c>
      <c r="B8" s="37">
        <f t="shared" si="0"/>
        <v>7246.8040000000001</v>
      </c>
      <c r="C8" s="33"/>
      <c r="D8" s="37">
        <f>IF(ISERROR(TER_handel_gas_kWh/1000),0,TER_handel_gas_kWh/1000)*0.902</f>
        <v>5702.8047999999999</v>
      </c>
      <c r="E8" s="33">
        <f>$C$28*'E Balans VL '!I13/100/3.6*1000000</f>
        <v>36.662818823755522</v>
      </c>
      <c r="F8" s="33">
        <f>$C$28*('E Balans VL '!L13+'E Balans VL '!N13)/100/3.6*1000000</f>
        <v>1101.0951889412747</v>
      </c>
      <c r="G8" s="34"/>
      <c r="H8" s="33"/>
      <c r="I8" s="33"/>
      <c r="J8" s="33">
        <f>$C$28*('E Balans VL '!D13+'E Balans VL '!E13)/100/3.6*1000000</f>
        <v>0</v>
      </c>
      <c r="K8" s="33"/>
      <c r="L8" s="33"/>
      <c r="M8" s="33"/>
      <c r="N8" s="33">
        <f>$C$28*'E Balans VL '!Y13/100/3.6*1000000</f>
        <v>3.3887995421415549</v>
      </c>
      <c r="O8" s="33"/>
      <c r="P8" s="33"/>
      <c r="R8" s="32"/>
    </row>
    <row r="9" spans="1:18">
      <c r="A9" s="32" t="s">
        <v>50</v>
      </c>
      <c r="B9" s="37">
        <f t="shared" si="0"/>
        <v>1679.5920000000001</v>
      </c>
      <c r="C9" s="33"/>
      <c r="D9" s="37">
        <f>IF(ISERROR(TER_gezond_gas_kWh/1000),0,TER_gezond_gas_kWh/1000)*0.902</f>
        <v>1361.7169280000001</v>
      </c>
      <c r="E9" s="33">
        <f>$C$29*'E Balans VL '!I10/100/3.6*1000000</f>
        <v>0.61077634011643056</v>
      </c>
      <c r="F9" s="33">
        <f>$C$29*('E Balans VL '!L10+'E Balans VL '!N10)/100/3.6*1000000</f>
        <v>362.91444500247843</v>
      </c>
      <c r="G9" s="34"/>
      <c r="H9" s="33"/>
      <c r="I9" s="33"/>
      <c r="J9" s="33">
        <f>$C$29*('E Balans VL '!D10+'E Balans VL '!E10)/100/3.6*1000000</f>
        <v>0</v>
      </c>
      <c r="K9" s="33"/>
      <c r="L9" s="33"/>
      <c r="M9" s="33"/>
      <c r="N9" s="33">
        <f>$C$29*'E Balans VL '!Y10/100/3.6*1000000</f>
        <v>12.735126713603586</v>
      </c>
      <c r="O9" s="33"/>
      <c r="P9" s="33"/>
      <c r="R9" s="32"/>
    </row>
    <row r="10" spans="1:18">
      <c r="A10" s="32" t="s">
        <v>49</v>
      </c>
      <c r="B10" s="37">
        <f t="shared" si="0"/>
        <v>1903.114</v>
      </c>
      <c r="C10" s="33"/>
      <c r="D10" s="37">
        <f>IF(ISERROR(TER_ander_gas_kWh/1000),0,TER_ander_gas_kWh/1000)*0.902</f>
        <v>1183.350938</v>
      </c>
      <c r="E10" s="33">
        <f>$C$30*'E Balans VL '!I14/100/3.6*1000000</f>
        <v>11.585489508133174</v>
      </c>
      <c r="F10" s="33">
        <f>$C$30*('E Balans VL '!L14+'E Balans VL '!N14)/100/3.6*1000000</f>
        <v>503.84834111351569</v>
      </c>
      <c r="G10" s="34"/>
      <c r="H10" s="33"/>
      <c r="I10" s="33"/>
      <c r="J10" s="33">
        <f>$C$30*('E Balans VL '!D14+'E Balans VL '!E14)/100/3.6*1000000</f>
        <v>0</v>
      </c>
      <c r="K10" s="33"/>
      <c r="L10" s="33"/>
      <c r="M10" s="33"/>
      <c r="N10" s="33">
        <f>$C$30*'E Balans VL '!Y14/100/3.6*1000000</f>
        <v>396.36929133881551</v>
      </c>
      <c r="O10" s="33"/>
      <c r="P10" s="33"/>
      <c r="R10" s="32"/>
    </row>
    <row r="11" spans="1:18">
      <c r="A11" s="32" t="s">
        <v>54</v>
      </c>
      <c r="B11" s="37">
        <f t="shared" si="0"/>
        <v>420.36200000000002</v>
      </c>
      <c r="C11" s="33"/>
      <c r="D11" s="37">
        <f>IF(ISERROR(TER_onderwijs_gas_kWh/1000),0,TER_onderwijs_gas_kWh/1000)*0.902</f>
        <v>1530.9411479999999</v>
      </c>
      <c r="E11" s="33">
        <f>$C$31*'E Balans VL '!I11/100/3.6*1000000</f>
        <v>0.52170563692931737</v>
      </c>
      <c r="F11" s="33">
        <f>$C$31*('E Balans VL '!L11+'E Balans VL '!N11)/100/3.6*1000000</f>
        <v>495.41862574827434</v>
      </c>
      <c r="G11" s="34"/>
      <c r="H11" s="33"/>
      <c r="I11" s="33"/>
      <c r="J11" s="33">
        <f>$C$31*('E Balans VL '!D11+'E Balans VL '!E11)/100/3.6*1000000</f>
        <v>0</v>
      </c>
      <c r="K11" s="33"/>
      <c r="L11" s="33"/>
      <c r="M11" s="33"/>
      <c r="N11" s="33">
        <f>$C$31*'E Balans VL '!Y11/100/3.6*1000000</f>
        <v>2.0176983395583385</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16870.872000000003</v>
      </c>
      <c r="C16" s="21">
        <f ca="1">C5+C13+C14</f>
        <v>0</v>
      </c>
      <c r="D16" s="21">
        <f t="shared" ref="D16:N16" ca="1" si="1">MAX((D5+D13+D14),0)</f>
        <v>15761.134883999999</v>
      </c>
      <c r="E16" s="21">
        <f t="shared" si="1"/>
        <v>285.05514352609515</v>
      </c>
      <c r="F16" s="21">
        <f t="shared" ca="1" si="1"/>
        <v>3355.1920544754662</v>
      </c>
      <c r="G16" s="21">
        <f t="shared" si="1"/>
        <v>0</v>
      </c>
      <c r="H16" s="21">
        <f t="shared" si="1"/>
        <v>0</v>
      </c>
      <c r="I16" s="21">
        <f t="shared" si="1"/>
        <v>0</v>
      </c>
      <c r="J16" s="21">
        <f t="shared" si="1"/>
        <v>0</v>
      </c>
      <c r="K16" s="21">
        <f t="shared" si="1"/>
        <v>0</v>
      </c>
      <c r="L16" s="21">
        <f t="shared" ca="1" si="1"/>
        <v>0</v>
      </c>
      <c r="M16" s="21">
        <f t="shared" si="1"/>
        <v>0</v>
      </c>
      <c r="N16" s="21">
        <f t="shared" ca="1" si="1"/>
        <v>469.71229958393599</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0.21212113756761292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3578.6685603975893</v>
      </c>
      <c r="C20" s="23">
        <f t="shared" ref="C20:P20" ca="1" si="2">C16*C18</f>
        <v>0</v>
      </c>
      <c r="D20" s="23">
        <f t="shared" ca="1" si="2"/>
        <v>3183.7492465680002</v>
      </c>
      <c r="E20" s="23">
        <f t="shared" si="2"/>
        <v>64.707517580423598</v>
      </c>
      <c r="F20" s="23">
        <f t="shared" ca="1" si="2"/>
        <v>895.83627854494955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3580.9070000000002</v>
      </c>
      <c r="C26" s="39">
        <f>IF(ISERROR(B26*3.6/1000000/'E Balans VL '!Z12*100),0,B26*3.6/1000000/'E Balans VL '!Z12*100)</f>
        <v>7.4467488044108715E-2</v>
      </c>
      <c r="D26" s="233" t="s">
        <v>676</v>
      </c>
      <c r="F26" s="6"/>
    </row>
    <row r="27" spans="1:18">
      <c r="A27" s="228" t="s">
        <v>52</v>
      </c>
      <c r="B27" s="33">
        <f>IF(ISERROR(TER_horeca_ele_kWh/1000),0,TER_horeca_ele_kWh/1000)</f>
        <v>2040.0930000000001</v>
      </c>
      <c r="C27" s="39">
        <f>IF(ISERROR(B27*3.6/1000000/'E Balans VL '!Z9*100),0,B27*3.6/1000000/'E Balans VL '!Z9*100)</f>
        <v>0.1677990970017893</v>
      </c>
      <c r="D27" s="233" t="s">
        <v>676</v>
      </c>
      <c r="F27" s="6"/>
    </row>
    <row r="28" spans="1:18">
      <c r="A28" s="168" t="s">
        <v>51</v>
      </c>
      <c r="B28" s="33">
        <f>IF(ISERROR(TER_handel_ele_kWh/1000),0,TER_handel_ele_kWh/1000)</f>
        <v>7246.8040000000001</v>
      </c>
      <c r="C28" s="39">
        <f>IF(ISERROR(B28*3.6/1000000/'E Balans VL '!Z13*100),0,B28*3.6/1000000/'E Balans VL '!Z13*100)</f>
        <v>0.20059011800780477</v>
      </c>
      <c r="D28" s="233" t="s">
        <v>676</v>
      </c>
      <c r="F28" s="6"/>
    </row>
    <row r="29" spans="1:18">
      <c r="A29" s="228" t="s">
        <v>50</v>
      </c>
      <c r="B29" s="33">
        <f>IF(ISERROR(TER_gezond_ele_kWh/1000),0,TER_gezond_ele_kWh/1000)</f>
        <v>1679.5920000000001</v>
      </c>
      <c r="C29" s="39">
        <f>IF(ISERROR(B29*3.6/1000000/'E Balans VL '!Z10*100),0,B29*3.6/1000000/'E Balans VL '!Z10*100)</f>
        <v>0.19154527649340661</v>
      </c>
      <c r="D29" s="233" t="s">
        <v>676</v>
      </c>
      <c r="F29" s="6"/>
    </row>
    <row r="30" spans="1:18">
      <c r="A30" s="228" t="s">
        <v>49</v>
      </c>
      <c r="B30" s="33">
        <f>IF(ISERROR(TER_ander_ele_kWh/1000),0,TER_ander_ele_kWh/1000)</f>
        <v>1903.114</v>
      </c>
      <c r="C30" s="39">
        <f>IF(ISERROR(B30*3.6/1000000/'E Balans VL '!Z14*100),0,B30*3.6/1000000/'E Balans VL '!Z14*100)</f>
        <v>0.14730618584548719</v>
      </c>
      <c r="D30" s="233" t="s">
        <v>676</v>
      </c>
      <c r="F30" s="6"/>
    </row>
    <row r="31" spans="1:18">
      <c r="A31" s="228" t="s">
        <v>54</v>
      </c>
      <c r="B31" s="33">
        <f>IF(ISERROR(TER_onderwijs_ele_kWh/1000),0,TER_onderwijs_ele_kWh/1000)</f>
        <v>420.36200000000002</v>
      </c>
      <c r="C31" s="39">
        <f>IF(ISERROR(B31*3.6/1000000/'E Balans VL '!Z11*100),0,B31*3.6/1000000/'E Balans VL '!Z11*100)</f>
        <v>0.13097684774802587</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2</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40037.905999999995</v>
      </c>
      <c r="C5" s="17">
        <f>IF(ISERROR('Eigen informatie GS &amp; warmtenet'!B59),0,'Eigen informatie GS &amp; warmtenet'!B59)</f>
        <v>0</v>
      </c>
      <c r="D5" s="30">
        <f>SUM(D6:D15)</f>
        <v>90677.552173999997</v>
      </c>
      <c r="E5" s="17">
        <f>SUM(E6:E15)</f>
        <v>346.93745994641421</v>
      </c>
      <c r="F5" s="17">
        <f>SUM(F6:F15)</f>
        <v>6508.3751992281368</v>
      </c>
      <c r="G5" s="18"/>
      <c r="H5" s="17"/>
      <c r="I5" s="17"/>
      <c r="J5" s="17">
        <f>SUM(J6:J15)</f>
        <v>422.72678322221685</v>
      </c>
      <c r="K5" s="17"/>
      <c r="L5" s="17"/>
      <c r="M5" s="17"/>
      <c r="N5" s="17">
        <f>SUM(N6:N15)</f>
        <v>492.47846071600929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189.95218</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15969.895</v>
      </c>
      <c r="C8" s="33"/>
      <c r="D8" s="37">
        <f>IF( ISERROR(IND_metaal_Gas_kWH/1000),0,IND_metaal_Gas_kWH/1000)*0.902</f>
        <v>691.92510200000004</v>
      </c>
      <c r="E8" s="33">
        <f>C30*'E Balans VL '!I18/100/3.6*1000000</f>
        <v>112.21692856749955</v>
      </c>
      <c r="F8" s="33">
        <f>C30*'E Balans VL '!L18/100/3.6*1000000+C30*'E Balans VL '!N18/100/3.6*1000000</f>
        <v>1753.4010379177687</v>
      </c>
      <c r="G8" s="34"/>
      <c r="H8" s="33"/>
      <c r="I8" s="33"/>
      <c r="J8" s="40">
        <f>C30*'E Balans VL '!D18/100/3.6*1000000+C30*'E Balans VL '!E18/100/3.6*1000000</f>
        <v>329.49335523028924</v>
      </c>
      <c r="K8" s="33"/>
      <c r="L8" s="33"/>
      <c r="M8" s="33"/>
      <c r="N8" s="33">
        <f>C30*'E Balans VL '!Y18/100/3.6*1000000</f>
        <v>59.856316610604232</v>
      </c>
      <c r="O8" s="33"/>
      <c r="P8" s="33"/>
      <c r="R8" s="32"/>
    </row>
    <row r="9" spans="1:18">
      <c r="A9" s="6" t="s">
        <v>32</v>
      </c>
      <c r="B9" s="37">
        <f t="shared" si="0"/>
        <v>1419.354</v>
      </c>
      <c r="C9" s="33"/>
      <c r="D9" s="37">
        <f>IF( ISERROR(IND_andere_gas_kWh/1000),0,IND_andere_gas_kWh/1000)*0.902</f>
        <v>1695.866436</v>
      </c>
      <c r="E9" s="33">
        <f>C31*'E Balans VL '!I19/100/3.6*1000000</f>
        <v>23.83978919416565</v>
      </c>
      <c r="F9" s="33">
        <f>C31*'E Balans VL '!L19/100/3.6*1000000+C31*'E Balans VL '!N19/100/3.6*1000000</f>
        <v>1109.5701168323144</v>
      </c>
      <c r="G9" s="34"/>
      <c r="H9" s="33"/>
      <c r="I9" s="33"/>
      <c r="J9" s="40">
        <f>C31*'E Balans VL '!D19/100/3.6*1000000+C31*'E Balans VL '!E19/100/3.6*1000000</f>
        <v>0.1280132016159132</v>
      </c>
      <c r="K9" s="33"/>
      <c r="L9" s="33"/>
      <c r="M9" s="33"/>
      <c r="N9" s="33">
        <f>C31*'E Balans VL '!Y19/100/3.6*1000000</f>
        <v>105.1969029301867</v>
      </c>
      <c r="O9" s="33"/>
      <c r="P9" s="33"/>
      <c r="R9" s="32"/>
    </row>
    <row r="10" spans="1:18">
      <c r="A10" s="6" t="s">
        <v>40</v>
      </c>
      <c r="B10" s="37">
        <f t="shared" si="0"/>
        <v>22286.905999999999</v>
      </c>
      <c r="C10" s="33"/>
      <c r="D10" s="37">
        <f>IF( ISERROR(IND_voed_gas_kWh/1000),0,IND_voed_gas_kWh/1000)*0.902</f>
        <v>87591.468316000013</v>
      </c>
      <c r="E10" s="33">
        <f>C32*'E Balans VL '!I20/100/3.6*1000000</f>
        <v>203.33646902065698</v>
      </c>
      <c r="F10" s="33">
        <f>C32*'E Balans VL '!L20/100/3.6*1000000+C32*'E Balans VL '!N20/100/3.6*1000000</f>
        <v>3595.5750314243414</v>
      </c>
      <c r="G10" s="34"/>
      <c r="H10" s="33"/>
      <c r="I10" s="33"/>
      <c r="J10" s="40">
        <f>C32*'E Balans VL '!D20/100/3.6*1000000+C32*'E Balans VL '!E20/100/3.6*1000000</f>
        <v>91.792090910868779</v>
      </c>
      <c r="K10" s="33"/>
      <c r="L10" s="33"/>
      <c r="M10" s="33"/>
      <c r="N10" s="33">
        <f>C32*'E Balans VL '!Y20/100/3.6*1000000</f>
        <v>326.03986106139382</v>
      </c>
      <c r="O10" s="33"/>
      <c r="P10" s="33"/>
      <c r="R10" s="32"/>
    </row>
    <row r="11" spans="1:18">
      <c r="A11" s="6" t="s">
        <v>39</v>
      </c>
      <c r="B11" s="37">
        <f t="shared" si="0"/>
        <v>47.457000000000001</v>
      </c>
      <c r="C11" s="33"/>
      <c r="D11" s="37">
        <f>IF( ISERROR(IND_textiel_gas_kWh/1000),0,IND_textiel_gas_kWh/1000)*0.902</f>
        <v>0</v>
      </c>
      <c r="E11" s="33">
        <f>C33*'E Balans VL '!I21/100/3.6*1000000</f>
        <v>0.10824061410286992</v>
      </c>
      <c r="F11" s="33">
        <f>C33*'E Balans VL '!L21/100/3.6*1000000+C33*'E Balans VL '!N21/100/3.6*1000000</f>
        <v>1.0144373911692011</v>
      </c>
      <c r="G11" s="34"/>
      <c r="H11" s="33"/>
      <c r="I11" s="33"/>
      <c r="J11" s="40">
        <f>C33*'E Balans VL '!D21/100/3.6*1000000+C33*'E Balans VL '!E21/100/3.6*1000000</f>
        <v>0</v>
      </c>
      <c r="K11" s="33"/>
      <c r="L11" s="33"/>
      <c r="M11" s="33"/>
      <c r="N11" s="33">
        <f>C33*'E Balans VL '!Y21/100/3.6*1000000</f>
        <v>0.3366535555976834</v>
      </c>
      <c r="O11" s="33"/>
      <c r="P11" s="33"/>
      <c r="R11" s="32"/>
    </row>
    <row r="12" spans="1:18">
      <c r="A12" s="6" t="s">
        <v>36</v>
      </c>
      <c r="B12" s="37">
        <f t="shared" si="0"/>
        <v>162.119</v>
      </c>
      <c r="C12" s="33"/>
      <c r="D12" s="37">
        <f>IF( ISERROR(IND_min_gas_kWh/1000),0,IND_min_gas_kWh/1000)*0.902</f>
        <v>210.18223600000002</v>
      </c>
      <c r="E12" s="33">
        <f>C34*'E Balans VL '!I22/100/3.6*1000000</f>
        <v>4.0210782567019372</v>
      </c>
      <c r="F12" s="33">
        <f>C34*'E Balans VL '!L22/100/3.6*1000000+C34*'E Balans VL '!N22/100/3.6*1000000</f>
        <v>17.226696038818726</v>
      </c>
      <c r="G12" s="34"/>
      <c r="H12" s="33"/>
      <c r="I12" s="33"/>
      <c r="J12" s="40">
        <f>C34*'E Balans VL '!D22/100/3.6*1000000+C34*'E Balans VL '!E22/100/3.6*1000000</f>
        <v>0.92093104530144998</v>
      </c>
      <c r="K12" s="33"/>
      <c r="L12" s="33"/>
      <c r="M12" s="33"/>
      <c r="N12" s="33">
        <f>C34*'E Balans VL '!Y22/100/3.6*1000000</f>
        <v>0</v>
      </c>
      <c r="O12" s="33"/>
      <c r="P12" s="33"/>
      <c r="R12" s="32"/>
    </row>
    <row r="13" spans="1:18">
      <c r="A13" s="6" t="s">
        <v>38</v>
      </c>
      <c r="B13" s="37">
        <f t="shared" si="0"/>
        <v>93.899000000000001</v>
      </c>
      <c r="C13" s="33"/>
      <c r="D13" s="37">
        <f>IF( ISERROR(IND_papier_gas_kWh/1000),0,IND_papier_gas_kWh/1000)*0.902</f>
        <v>123.39720800000001</v>
      </c>
      <c r="E13" s="33">
        <f>C35*'E Balans VL '!I23/100/3.6*1000000</f>
        <v>2.8890271754351735</v>
      </c>
      <c r="F13" s="33">
        <f>C35*'E Balans VL '!L23/100/3.6*1000000+C35*'E Balans VL '!N23/100/3.6*1000000</f>
        <v>19.938039276166649</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58.276000000000003</v>
      </c>
      <c r="C15" s="33"/>
      <c r="D15" s="37">
        <f>IF( ISERROR(IND_rest_gas_kWh/1000),0,IND_rest_gas_kWh/1000)*0.902</f>
        <v>174.760696</v>
      </c>
      <c r="E15" s="33">
        <f>C37*'E Balans VL '!I15/100/3.6*1000000</f>
        <v>0.52592711785206059</v>
      </c>
      <c r="F15" s="33">
        <f>C37*'E Balans VL '!L15/100/3.6*1000000+C37*'E Balans VL '!N15/100/3.6*1000000</f>
        <v>11.649840347557962</v>
      </c>
      <c r="G15" s="34"/>
      <c r="H15" s="33"/>
      <c r="I15" s="33"/>
      <c r="J15" s="40">
        <f>C37*'E Balans VL '!D15/100/3.6*1000000+C37*'E Balans VL '!E15/100/3.6*1000000</f>
        <v>0.39239283414149984</v>
      </c>
      <c r="K15" s="33"/>
      <c r="L15" s="33"/>
      <c r="M15" s="33"/>
      <c r="N15" s="33">
        <f>C37*'E Balans VL '!Y15/100/3.6*1000000</f>
        <v>1.0487265582268879</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40037.905999999995</v>
      </c>
      <c r="C18" s="21">
        <f>C5+C16</f>
        <v>0</v>
      </c>
      <c r="D18" s="21">
        <f>MAX((D5+D16),0)</f>
        <v>90677.552173999997</v>
      </c>
      <c r="E18" s="21">
        <f>MAX((E5+E16),0)</f>
        <v>346.93745994641421</v>
      </c>
      <c r="F18" s="21">
        <f>MAX((F5+F16),0)</f>
        <v>6508.3751992281368</v>
      </c>
      <c r="G18" s="21"/>
      <c r="H18" s="21"/>
      <c r="I18" s="21"/>
      <c r="J18" s="21">
        <f>MAX((J5+J16),0)</f>
        <v>422.72678322221685</v>
      </c>
      <c r="K18" s="21"/>
      <c r="L18" s="21">
        <f>MAX((L5+L16),0)</f>
        <v>0</v>
      </c>
      <c r="M18" s="21"/>
      <c r="N18" s="21">
        <f>MAX((N5+N16),0)</f>
        <v>492.47846071600929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0.21212113756761292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8492.8861665451532</v>
      </c>
      <c r="C22" s="23">
        <f ca="1">C18*C20</f>
        <v>0</v>
      </c>
      <c r="D22" s="23">
        <f>D18*D20</f>
        <v>18316.865539147999</v>
      </c>
      <c r="E22" s="23">
        <f>E18*E20</f>
        <v>78.754803407836022</v>
      </c>
      <c r="F22" s="23">
        <f>F18*F20</f>
        <v>1737.7361781939126</v>
      </c>
      <c r="G22" s="23"/>
      <c r="H22" s="23"/>
      <c r="I22" s="23"/>
      <c r="J22" s="23">
        <f>J18*J20</f>
        <v>149.64528126066475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15969.895</v>
      </c>
      <c r="C30" s="39">
        <f>IF(ISERROR(B30*3.6/1000000/'E Balans VL '!Z18*100),0,B30*3.6/1000000/'E Balans VL '!Z18*100)</f>
        <v>1.0631256621850904</v>
      </c>
      <c r="D30" s="233" t="s">
        <v>676</v>
      </c>
    </row>
    <row r="31" spans="1:18">
      <c r="A31" s="6" t="s">
        <v>32</v>
      </c>
      <c r="B31" s="37">
        <f>IF( ISERROR(IND_ander_ele_kWh/1000),0,IND_ander_ele_kWh/1000)</f>
        <v>1419.354</v>
      </c>
      <c r="C31" s="39">
        <f>IF(ISERROR(B31*3.6/1000000/'E Balans VL '!Z19*100),0,B31*3.6/1000000/'E Balans VL '!Z19*100)</f>
        <v>6.2914337995534128E-2</v>
      </c>
      <c r="D31" s="233" t="s">
        <v>676</v>
      </c>
    </row>
    <row r="32" spans="1:18">
      <c r="A32" s="168" t="s">
        <v>40</v>
      </c>
      <c r="B32" s="37">
        <f>IF( ISERROR(IND_voed_ele_kWh/1000),0,IND_voed_ele_kWh/1000)</f>
        <v>22286.905999999999</v>
      </c>
      <c r="C32" s="39">
        <f>IF(ISERROR(B32*3.6/1000000/'E Balans VL '!Z20*100),0,B32*3.6/1000000/'E Balans VL '!Z20*100)</f>
        <v>0.74444659325878504</v>
      </c>
      <c r="D32" s="233" t="s">
        <v>676</v>
      </c>
    </row>
    <row r="33" spans="1:5">
      <c r="A33" s="168" t="s">
        <v>39</v>
      </c>
      <c r="B33" s="37">
        <f>IF( ISERROR(IND_textiel_ele_kWh/1000),0,IND_textiel_ele_kWh/1000)</f>
        <v>47.457000000000001</v>
      </c>
      <c r="C33" s="39">
        <f>IF(ISERROR(B33*3.6/1000000/'E Balans VL '!Z21*100),0,B33*3.6/1000000/'E Balans VL '!Z21*100)</f>
        <v>6.2478234877392539E-3</v>
      </c>
      <c r="D33" s="233" t="s">
        <v>676</v>
      </c>
    </row>
    <row r="34" spans="1:5">
      <c r="A34" s="168" t="s">
        <v>36</v>
      </c>
      <c r="B34" s="37">
        <f>IF( ISERROR(IND_min_ele_kWh/1000),0,IND_min_ele_kWh/1000)</f>
        <v>162.119</v>
      </c>
      <c r="C34" s="39">
        <f>IF(ISERROR(B34*3.6/1000000/'E Balans VL '!Z22*100),0,B34*3.6/1000000/'E Balans VL '!Z22*100)</f>
        <v>3.1530364724010433E-2</v>
      </c>
      <c r="D34" s="233" t="s">
        <v>676</v>
      </c>
    </row>
    <row r="35" spans="1:5">
      <c r="A35" s="168" t="s">
        <v>38</v>
      </c>
      <c r="B35" s="37">
        <f>IF( ISERROR(IND_papier_ele_kWh/1000),0,IND_papier_ele_kWh/1000)</f>
        <v>93.899000000000001</v>
      </c>
      <c r="C35" s="39">
        <f>IF(ISERROR(B35*3.6/1000000/'E Balans VL '!Z22*100),0,B35*3.6/1000000/'E Balans VL '!Z22*100)</f>
        <v>1.8262324078114567E-2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58.276000000000003</v>
      </c>
      <c r="C37" s="39">
        <f>IF(ISERROR(B37*3.6/1000000/'E Balans VL '!Z15*100),0,B37*3.6/1000000/'E Balans VL '!Z15*100)</f>
        <v>4.3347850027492771E-4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163.95599999999999</v>
      </c>
      <c r="C5" s="17">
        <f>'Eigen informatie GS &amp; warmtenet'!B60</f>
        <v>0</v>
      </c>
      <c r="D5" s="30">
        <f>IF(ISERROR(SUM(LB_lb_gas_kWh,LB_rest_gas_kWh)/1000),0,SUM(LB_lb_gas_kWh,LB_rest_gas_kWh)/1000)*0.902</f>
        <v>112.300804</v>
      </c>
      <c r="E5" s="17">
        <f>B17*'E Balans VL '!I25/3.6*1000000/100</f>
        <v>1.4774516018276131</v>
      </c>
      <c r="F5" s="17">
        <f>B17*('E Balans VL '!L25/3.6*1000000+'E Balans VL '!N25/3.6*1000000)/100</f>
        <v>614.34813249241506</v>
      </c>
      <c r="G5" s="18"/>
      <c r="H5" s="17"/>
      <c r="I5" s="17"/>
      <c r="J5" s="17">
        <f>('E Balans VL '!D25+'E Balans VL '!E25)/3.6*1000000*landbouw!B17/100</f>
        <v>16.591669096918856</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163.95599999999999</v>
      </c>
      <c r="C8" s="21">
        <f>C5+C6</f>
        <v>0</v>
      </c>
      <c r="D8" s="21">
        <f>MAX((D5+D6),0)</f>
        <v>112.300804</v>
      </c>
      <c r="E8" s="21">
        <f>MAX((E5+E6),0)</f>
        <v>1.4774516018276131</v>
      </c>
      <c r="F8" s="21">
        <f>MAX((F5+F6),0)</f>
        <v>614.34813249241506</v>
      </c>
      <c r="G8" s="21"/>
      <c r="H8" s="21"/>
      <c r="I8" s="21"/>
      <c r="J8" s="21">
        <f>MAX((J5+J6),0)</f>
        <v>16.591669096918856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0.21212113756761292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34.778533231035539</v>
      </c>
      <c r="C12" s="23">
        <f ca="1">C8*C10</f>
        <v>0</v>
      </c>
      <c r="D12" s="23">
        <f>D8*D10</f>
        <v>22.684762408000001</v>
      </c>
      <c r="E12" s="23">
        <f>E8*E10</f>
        <v>0.33538151361486818</v>
      </c>
      <c r="F12" s="23">
        <f>F8*F10</f>
        <v>164.03095137547484</v>
      </c>
      <c r="G12" s="23"/>
      <c r="H12" s="23"/>
      <c r="I12" s="23"/>
      <c r="J12" s="23">
        <f>J8*J10</f>
        <v>5.8734508603092745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2.523599333567517E-2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34.116641466237553</v>
      </c>
      <c r="C26" s="243">
        <f>B26*'GWP N2O_CH4'!B5</f>
        <v>716.44947079098858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2.8080046677188388</v>
      </c>
      <c r="C27" s="243">
        <f>B27*'GWP N2O_CH4'!B5</f>
        <v>58.968098022095617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0.60174570964605911</v>
      </c>
      <c r="C28" s="243">
        <f>B28*'GWP N2O_CH4'!B4</f>
        <v>186.54116999027832</v>
      </c>
      <c r="D28" s="50"/>
    </row>
    <row r="29" spans="1:4">
      <c r="A29" s="41" t="s">
        <v>266</v>
      </c>
      <c r="B29" s="243">
        <f>B34*'ha_N2O bodem landbouw'!B4</f>
        <v>5.0454052346256324</v>
      </c>
      <c r="C29" s="243">
        <f>B29*'GWP N2O_CH4'!B4</f>
        <v>1564.0756227339461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1.3099436768825422E-3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9.5736524635106859E-6</v>
      </c>
      <c r="C5" s="431" t="s">
        <v>204</v>
      </c>
      <c r="D5" s="416">
        <f>SUM(D6:D11)</f>
        <v>3.0225949815829753E-5</v>
      </c>
      <c r="E5" s="416">
        <f>SUM(E6:E11)</f>
        <v>3.5534847585407744E-3</v>
      </c>
      <c r="F5" s="429" t="s">
        <v>204</v>
      </c>
      <c r="G5" s="416">
        <f>SUM(G6:G11)</f>
        <v>0.75705705944375601</v>
      </c>
      <c r="H5" s="416">
        <f>SUM(H6:H11)</f>
        <v>0.10834496260237099</v>
      </c>
      <c r="I5" s="431" t="s">
        <v>204</v>
      </c>
      <c r="J5" s="431" t="s">
        <v>204</v>
      </c>
      <c r="K5" s="431" t="s">
        <v>204</v>
      </c>
      <c r="L5" s="431" t="s">
        <v>204</v>
      </c>
      <c r="M5" s="416">
        <f>SUM(M6:M11)</f>
        <v>3.7599977780088834E-2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1.9589896048406635E-6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6.1835053665638795E-6</v>
      </c>
      <c r="E6" s="419">
        <f>vkm_GW_PW*SUMIFS(TableVerdeelsleutelVkm[LPG],TableVerdeelsleutelVkm[Voertuigtype],"Lichte voertuigen")*SUMIFS(TableECFTransport[EnergieConsumptieFactor (PJ per km)],TableECFTransport[Index],CONCATENATE($A6,"_LPG_LPG"))</f>
        <v>6.4220936008235535E-4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8.5723706178901377E-2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2.1530100864337171E-2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4.6838312309474273E-3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1.100424886421292E-7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4.9604460924271128E-2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1.4595791929876824E-6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2.1369861677642209E-3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1.1037680656793956E-6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5.9091832150743685E-6</v>
      </c>
      <c r="E8" s="419">
        <f>vkm_NGW_PW*SUMIFS(TableVerdeelsleutelVkm[LPG],TableVerdeelsleutelVkm[Voertuigtype],"Lichte voertuigen")*SUMIFS(TableECFTransport[EnergieConsumptieFactor (PJ per km)],TableECFTransport[Index],CONCATENATE($A8,"_LPG_LPG"))</f>
        <v>5.776234959539E-4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7.3346549616182866E-2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1.9432188429208685E-2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4.0540769635937536E-3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2.187196871424146E-8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1.3656745715922944E-2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3.5016407071437271E-7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5.8833738270662526E-4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5.8148198704066648E-6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1.8133261234191506E-5</v>
      </c>
      <c r="E10" s="419">
        <f>vkm_SW_PW*SUMIFS(TableVerdeelsleutelVkm[LPG],TableVerdeelsleutelVkm[Voertuigtype],"Lichte voertuigen")*SUMIFS(TableECFTransport[EnergieConsumptieFactor (PJ per km)],TableECFTransport[Index],CONCATENATE($A10,"_LPG_LPG"))</f>
        <v>2.333651902504519E-3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0.28933790784897512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6.7373161621709421E-2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1.55652936465085E-2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5.6416046522759064E-7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0.24538768915950263</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7.7019438520141676E-6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1.0571452388568303E-2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2.6593479065307459</v>
      </c>
      <c r="C14" s="21"/>
      <c r="D14" s="21">
        <f t="shared" ref="D14:M14" si="0">((D5)*10^9/3600)+D12</f>
        <v>8.3960971710638201</v>
      </c>
      <c r="E14" s="21">
        <f t="shared" si="0"/>
        <v>987.07909959465951</v>
      </c>
      <c r="F14" s="21"/>
      <c r="G14" s="21">
        <f t="shared" si="0"/>
        <v>210293.62762326555</v>
      </c>
      <c r="H14" s="21">
        <f t="shared" si="0"/>
        <v>30095.822945103053</v>
      </c>
      <c r="I14" s="21"/>
      <c r="J14" s="21"/>
      <c r="K14" s="21"/>
      <c r="L14" s="21"/>
      <c r="M14" s="21">
        <f t="shared" si="0"/>
        <v>10444.438272246898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0.21212113756761292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0.56410390312135172</v>
      </c>
      <c r="C18" s="23"/>
      <c r="D18" s="23">
        <f t="shared" ref="D18:M18" si="1">D14*D16</f>
        <v>1.6960116285548918</v>
      </c>
      <c r="E18" s="23">
        <f t="shared" si="1"/>
        <v>224.06695560798772</v>
      </c>
      <c r="F18" s="23"/>
      <c r="G18" s="23">
        <f t="shared" si="1"/>
        <v>56148.398575411906</v>
      </c>
      <c r="H18" s="23">
        <f t="shared" si="1"/>
        <v>7493.8599133306598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4.507681791062285E-5</v>
      </c>
      <c r="C50" s="313">
        <f t="shared" ref="C50:P50" si="2">SUM(C51:C52)</f>
        <v>0</v>
      </c>
      <c r="D50" s="313">
        <f t="shared" si="2"/>
        <v>0</v>
      </c>
      <c r="E50" s="313">
        <f t="shared" si="2"/>
        <v>0</v>
      </c>
      <c r="F50" s="313">
        <f t="shared" si="2"/>
        <v>0</v>
      </c>
      <c r="G50" s="313">
        <f t="shared" si="2"/>
        <v>9.7789630808427404E-3</v>
      </c>
      <c r="H50" s="313">
        <f t="shared" si="2"/>
        <v>0</v>
      </c>
      <c r="I50" s="313">
        <f t="shared" si="2"/>
        <v>0</v>
      </c>
      <c r="J50" s="313">
        <f t="shared" si="2"/>
        <v>0</v>
      </c>
      <c r="K50" s="313">
        <f t="shared" si="2"/>
        <v>0</v>
      </c>
      <c r="L50" s="313">
        <f t="shared" si="2"/>
        <v>0</v>
      </c>
      <c r="M50" s="313">
        <f t="shared" si="2"/>
        <v>4.1869763568925974E-4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4.507681791062285E-5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9.7789630808427404E-3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4.1869763568925974E-4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12.521338308506348</v>
      </c>
      <c r="C54" s="21">
        <f t="shared" ref="C54:P54" si="3">(C50)*10^9/3600</f>
        <v>0</v>
      </c>
      <c r="D54" s="21">
        <f t="shared" si="3"/>
        <v>0</v>
      </c>
      <c r="E54" s="21">
        <f t="shared" si="3"/>
        <v>0</v>
      </c>
      <c r="F54" s="21">
        <f t="shared" si="3"/>
        <v>0</v>
      </c>
      <c r="G54" s="21">
        <f t="shared" si="3"/>
        <v>2716.3786335674281</v>
      </c>
      <c r="H54" s="21">
        <f t="shared" si="3"/>
        <v>0</v>
      </c>
      <c r="I54" s="21">
        <f t="shared" si="3"/>
        <v>0</v>
      </c>
      <c r="J54" s="21">
        <f t="shared" si="3"/>
        <v>0</v>
      </c>
      <c r="K54" s="21">
        <f t="shared" si="3"/>
        <v>0</v>
      </c>
      <c r="L54" s="21">
        <f t="shared" si="3"/>
        <v>0</v>
      </c>
      <c r="M54" s="21">
        <f t="shared" si="3"/>
        <v>116.30489880257215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0.21212113756761292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2.6560405258692965</v>
      </c>
      <c r="C58" s="23">
        <f t="shared" ref="C58:P58" ca="1" si="4">C54*C56</f>
        <v>0</v>
      </c>
      <c r="D58" s="23">
        <f t="shared" si="4"/>
        <v>0</v>
      </c>
      <c r="E58" s="23">
        <f t="shared" si="4"/>
        <v>0</v>
      </c>
      <c r="F58" s="23">
        <f t="shared" si="4"/>
        <v>0</v>
      </c>
      <c r="G58" s="23">
        <f t="shared" si="4"/>
        <v>725.2730951625033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3988.1481327291594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3988.1481327291594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18174.936000000002</v>
      </c>
      <c r="D10" s="635">
        <f ca="1">tertiair!C16</f>
        <v>0</v>
      </c>
      <c r="E10" s="635">
        <f ca="1">tertiair!D16</f>
        <v>15761.134883999999</v>
      </c>
      <c r="F10" s="635">
        <f>tertiair!E16</f>
        <v>285.05514352609515</v>
      </c>
      <c r="G10" s="635">
        <f ca="1">tertiair!F16</f>
        <v>3355.1920544754662</v>
      </c>
      <c r="H10" s="635">
        <f>tertiair!G16</f>
        <v>0</v>
      </c>
      <c r="I10" s="635">
        <f>tertiair!H16</f>
        <v>0</v>
      </c>
      <c r="J10" s="635">
        <f>tertiair!I16</f>
        <v>0</v>
      </c>
      <c r="K10" s="635">
        <f>tertiair!J16</f>
        <v>0</v>
      </c>
      <c r="L10" s="635">
        <f>tertiair!K16</f>
        <v>0</v>
      </c>
      <c r="M10" s="635">
        <f ca="1">tertiair!L16</f>
        <v>0</v>
      </c>
      <c r="N10" s="635">
        <f>tertiair!M16</f>
        <v>0</v>
      </c>
      <c r="O10" s="635">
        <f ca="1">tertiair!N16</f>
        <v>469.71229958393599</v>
      </c>
      <c r="P10" s="635">
        <f>tertiair!O16</f>
        <v>0</v>
      </c>
      <c r="Q10" s="636">
        <f>tertiair!P16</f>
        <v>38.133333333333333</v>
      </c>
      <c r="R10" s="638">
        <f ca="1">SUM(C10:Q10)</f>
        <v>38084.163714918832</v>
      </c>
      <c r="S10" s="67"/>
    </row>
    <row r="11" spans="1:19" s="441" customFormat="1">
      <c r="A11" s="749" t="s">
        <v>214</v>
      </c>
      <c r="B11" s="754"/>
      <c r="C11" s="635">
        <f>huishoudens!B8</f>
        <v>39636.519435782284</v>
      </c>
      <c r="D11" s="635">
        <f>huishoudens!C8</f>
        <v>0</v>
      </c>
      <c r="E11" s="635">
        <f>huishoudens!D8</f>
        <v>53795.912302000004</v>
      </c>
      <c r="F11" s="635">
        <f>huishoudens!E8</f>
        <v>2363.4583584887109</v>
      </c>
      <c r="G11" s="635">
        <f>huishoudens!F8</f>
        <v>80675.222690823954</v>
      </c>
      <c r="H11" s="635">
        <f>huishoudens!G8</f>
        <v>0</v>
      </c>
      <c r="I11" s="635">
        <f>huishoudens!H8</f>
        <v>0</v>
      </c>
      <c r="J11" s="635">
        <f>huishoudens!I8</f>
        <v>0</v>
      </c>
      <c r="K11" s="635">
        <f>huishoudens!J8</f>
        <v>1816.601480139283</v>
      </c>
      <c r="L11" s="635">
        <f>huishoudens!K8</f>
        <v>0</v>
      </c>
      <c r="M11" s="635">
        <f>huishoudens!L8</f>
        <v>0</v>
      </c>
      <c r="N11" s="635">
        <f>huishoudens!M8</f>
        <v>0</v>
      </c>
      <c r="O11" s="635">
        <f>huishoudens!N8</f>
        <v>10301.557468673327</v>
      </c>
      <c r="P11" s="635">
        <f>huishoudens!O8</f>
        <v>101.61666666666667</v>
      </c>
      <c r="Q11" s="636">
        <f>huishoudens!P8</f>
        <v>591.06666666666661</v>
      </c>
      <c r="R11" s="638">
        <f>SUM(C11:Q11)</f>
        <v>189281.95506924091</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40037.905999999995</v>
      </c>
      <c r="D13" s="635">
        <f>industrie!C18</f>
        <v>0</v>
      </c>
      <c r="E13" s="635">
        <f>industrie!D18</f>
        <v>90677.552173999997</v>
      </c>
      <c r="F13" s="635">
        <f>industrie!E18</f>
        <v>346.93745994641421</v>
      </c>
      <c r="G13" s="635">
        <f>industrie!F18</f>
        <v>6508.3751992281368</v>
      </c>
      <c r="H13" s="635">
        <f>industrie!G18</f>
        <v>0</v>
      </c>
      <c r="I13" s="635">
        <f>industrie!H18</f>
        <v>0</v>
      </c>
      <c r="J13" s="635">
        <f>industrie!I18</f>
        <v>0</v>
      </c>
      <c r="K13" s="635">
        <f>industrie!J18</f>
        <v>422.72678322221685</v>
      </c>
      <c r="L13" s="635">
        <f>industrie!K18</f>
        <v>0</v>
      </c>
      <c r="M13" s="635">
        <f>industrie!L18</f>
        <v>0</v>
      </c>
      <c r="N13" s="635">
        <f>industrie!M18</f>
        <v>0</v>
      </c>
      <c r="O13" s="635">
        <f>industrie!N18</f>
        <v>492.47846071600929</v>
      </c>
      <c r="P13" s="635">
        <f>industrie!O18</f>
        <v>0</v>
      </c>
      <c r="Q13" s="636">
        <f>industrie!P18</f>
        <v>0</v>
      </c>
      <c r="R13" s="638">
        <f>SUM(C13:Q13)</f>
        <v>138485.97607711278</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97849.361435782281</v>
      </c>
      <c r="D16" s="668">
        <f t="shared" ref="D16:R16" ca="1" si="0">SUM(D9:D15)</f>
        <v>0</v>
      </c>
      <c r="E16" s="668">
        <f t="shared" ca="1" si="0"/>
        <v>160234.59935999999</v>
      </c>
      <c r="F16" s="668">
        <f t="shared" si="0"/>
        <v>2995.4509619612199</v>
      </c>
      <c r="G16" s="668">
        <f t="shared" ca="1" si="0"/>
        <v>90538.789944527554</v>
      </c>
      <c r="H16" s="668">
        <f t="shared" si="0"/>
        <v>0</v>
      </c>
      <c r="I16" s="668">
        <f t="shared" si="0"/>
        <v>0</v>
      </c>
      <c r="J16" s="668">
        <f t="shared" si="0"/>
        <v>0</v>
      </c>
      <c r="K16" s="668">
        <f t="shared" si="0"/>
        <v>2239.3282633614999</v>
      </c>
      <c r="L16" s="668">
        <f t="shared" si="0"/>
        <v>0</v>
      </c>
      <c r="M16" s="668">
        <f t="shared" ca="1" si="0"/>
        <v>0</v>
      </c>
      <c r="N16" s="668">
        <f t="shared" si="0"/>
        <v>0</v>
      </c>
      <c r="O16" s="668">
        <f t="shared" ca="1" si="0"/>
        <v>11263.748228973272</v>
      </c>
      <c r="P16" s="668">
        <f t="shared" si="0"/>
        <v>101.61666666666667</v>
      </c>
      <c r="Q16" s="668">
        <f t="shared" si="0"/>
        <v>629.19999999999993</v>
      </c>
      <c r="R16" s="668">
        <f t="shared" ca="1" si="0"/>
        <v>365852.09486127249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12.521338308506348</v>
      </c>
      <c r="D19" s="635">
        <f>transport!C54</f>
        <v>0</v>
      </c>
      <c r="E19" s="635">
        <f>transport!D54</f>
        <v>0</v>
      </c>
      <c r="F19" s="635">
        <f>transport!E54</f>
        <v>0</v>
      </c>
      <c r="G19" s="635">
        <f>transport!F54</f>
        <v>0</v>
      </c>
      <c r="H19" s="635">
        <f>transport!G54</f>
        <v>2716.3786335674281</v>
      </c>
      <c r="I19" s="635">
        <f>transport!H54</f>
        <v>0</v>
      </c>
      <c r="J19" s="635">
        <f>transport!I54</f>
        <v>0</v>
      </c>
      <c r="K19" s="635">
        <f>transport!J54</f>
        <v>0</v>
      </c>
      <c r="L19" s="635">
        <f>transport!K54</f>
        <v>0</v>
      </c>
      <c r="M19" s="635">
        <f>transport!L54</f>
        <v>0</v>
      </c>
      <c r="N19" s="635">
        <f>transport!M54</f>
        <v>116.30489880257215</v>
      </c>
      <c r="O19" s="635">
        <f>transport!N54</f>
        <v>0</v>
      </c>
      <c r="P19" s="635">
        <f>transport!O54</f>
        <v>0</v>
      </c>
      <c r="Q19" s="636">
        <f>transport!P54</f>
        <v>0</v>
      </c>
      <c r="R19" s="638">
        <f>SUM(C19:Q19)</f>
        <v>2845.2048706785067</v>
      </c>
      <c r="S19" s="67"/>
    </row>
    <row r="20" spans="1:19" s="441" customFormat="1">
      <c r="A20" s="749" t="s">
        <v>296</v>
      </c>
      <c r="B20" s="754"/>
      <c r="C20" s="635">
        <f>transport!B14</f>
        <v>2.6593479065307459</v>
      </c>
      <c r="D20" s="635">
        <f>transport!C14</f>
        <v>0</v>
      </c>
      <c r="E20" s="635">
        <f>transport!D14</f>
        <v>8.3960971710638201</v>
      </c>
      <c r="F20" s="635">
        <f>transport!E14</f>
        <v>987.07909959465951</v>
      </c>
      <c r="G20" s="635">
        <f>transport!F14</f>
        <v>0</v>
      </c>
      <c r="H20" s="635">
        <f>transport!G14</f>
        <v>210293.62762326555</v>
      </c>
      <c r="I20" s="635">
        <f>transport!H14</f>
        <v>30095.822945103053</v>
      </c>
      <c r="J20" s="635">
        <f>transport!I14</f>
        <v>0</v>
      </c>
      <c r="K20" s="635">
        <f>transport!J14</f>
        <v>0</v>
      </c>
      <c r="L20" s="635">
        <f>transport!K14</f>
        <v>0</v>
      </c>
      <c r="M20" s="635">
        <f>transport!L14</f>
        <v>0</v>
      </c>
      <c r="N20" s="635">
        <f>transport!M14</f>
        <v>10444.438272246898</v>
      </c>
      <c r="O20" s="635">
        <f>transport!N14</f>
        <v>0</v>
      </c>
      <c r="P20" s="635">
        <f>transport!O14</f>
        <v>0</v>
      </c>
      <c r="Q20" s="636">
        <f>transport!P14</f>
        <v>0</v>
      </c>
      <c r="R20" s="638">
        <f>SUM(C20:Q20)</f>
        <v>251832.02338528773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15.180686215037094</v>
      </c>
      <c r="D22" s="752">
        <f t="shared" ref="D22:R22" si="1">SUM(D18:D21)</f>
        <v>0</v>
      </c>
      <c r="E22" s="752">
        <f t="shared" si="1"/>
        <v>8.3960971710638201</v>
      </c>
      <c r="F22" s="752">
        <f t="shared" si="1"/>
        <v>987.07909959465951</v>
      </c>
      <c r="G22" s="752">
        <f t="shared" si="1"/>
        <v>0</v>
      </c>
      <c r="H22" s="752">
        <f t="shared" si="1"/>
        <v>213010.00625683297</v>
      </c>
      <c r="I22" s="752">
        <f t="shared" si="1"/>
        <v>30095.822945103053</v>
      </c>
      <c r="J22" s="752">
        <f t="shared" si="1"/>
        <v>0</v>
      </c>
      <c r="K22" s="752">
        <f t="shared" si="1"/>
        <v>0</v>
      </c>
      <c r="L22" s="752">
        <f t="shared" si="1"/>
        <v>0</v>
      </c>
      <c r="M22" s="752">
        <f t="shared" si="1"/>
        <v>0</v>
      </c>
      <c r="N22" s="752">
        <f t="shared" si="1"/>
        <v>10560.743171049471</v>
      </c>
      <c r="O22" s="752">
        <f t="shared" si="1"/>
        <v>0</v>
      </c>
      <c r="P22" s="752">
        <f t="shared" si="1"/>
        <v>0</v>
      </c>
      <c r="Q22" s="752">
        <f t="shared" si="1"/>
        <v>0</v>
      </c>
      <c r="R22" s="752">
        <f t="shared" si="1"/>
        <v>254677.22825596624</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163.95599999999999</v>
      </c>
      <c r="D24" s="635">
        <f>+landbouw!C8</f>
        <v>0</v>
      </c>
      <c r="E24" s="635">
        <f>+landbouw!D8</f>
        <v>112.300804</v>
      </c>
      <c r="F24" s="635">
        <f>+landbouw!E8</f>
        <v>1.4774516018276131</v>
      </c>
      <c r="G24" s="635">
        <f>+landbouw!F8</f>
        <v>614.34813249241506</v>
      </c>
      <c r="H24" s="635">
        <f>+landbouw!G8</f>
        <v>0</v>
      </c>
      <c r="I24" s="635">
        <f>+landbouw!H8</f>
        <v>0</v>
      </c>
      <c r="J24" s="635">
        <f>+landbouw!I8</f>
        <v>0</v>
      </c>
      <c r="K24" s="635">
        <f>+landbouw!J8</f>
        <v>16.591669096918856</v>
      </c>
      <c r="L24" s="635">
        <f>+landbouw!K8</f>
        <v>0</v>
      </c>
      <c r="M24" s="635">
        <f>+landbouw!L8</f>
        <v>0</v>
      </c>
      <c r="N24" s="635">
        <f>+landbouw!M8</f>
        <v>0</v>
      </c>
      <c r="O24" s="635">
        <f>+landbouw!N8</f>
        <v>0</v>
      </c>
      <c r="P24" s="635">
        <f>+landbouw!O8</f>
        <v>0</v>
      </c>
      <c r="Q24" s="636">
        <f>+landbouw!P8</f>
        <v>0</v>
      </c>
      <c r="R24" s="638">
        <f>SUM(C24:Q24)</f>
        <v>908.67405719116152</v>
      </c>
      <c r="S24" s="67"/>
    </row>
    <row r="25" spans="1:19" s="441" customFormat="1" ht="15" thickBot="1">
      <c r="A25" s="771" t="s">
        <v>864</v>
      </c>
      <c r="B25" s="923"/>
      <c r="C25" s="924">
        <f>IF(Onbekend_ele_kWh="---",0,Onbekend_ele_kWh)/1000+IF(REST_rest_ele_kWh="---",0,REST_rest_ele_kWh)/1000</f>
        <v>1238.806</v>
      </c>
      <c r="D25" s="924"/>
      <c r="E25" s="924">
        <f>IF(onbekend_gas_kWh="---",0,onbekend_gas_kWh)/1000+IF(REST_rest_gas_kWh="---",0,REST_rest_gas_kWh)/1000</f>
        <v>2709.623</v>
      </c>
      <c r="F25" s="924"/>
      <c r="G25" s="924"/>
      <c r="H25" s="924"/>
      <c r="I25" s="924"/>
      <c r="J25" s="924"/>
      <c r="K25" s="924"/>
      <c r="L25" s="924"/>
      <c r="M25" s="924"/>
      <c r="N25" s="924"/>
      <c r="O25" s="924"/>
      <c r="P25" s="924"/>
      <c r="Q25" s="925"/>
      <c r="R25" s="638">
        <f>SUM(C25:Q25)</f>
        <v>3948.4290000000001</v>
      </c>
      <c r="S25" s="67"/>
    </row>
    <row r="26" spans="1:19" s="441" customFormat="1" ht="15.75" thickBot="1">
      <c r="A26" s="641" t="s">
        <v>865</v>
      </c>
      <c r="B26" s="757"/>
      <c r="C26" s="752">
        <f>SUM(C24:C25)</f>
        <v>1402.7619999999999</v>
      </c>
      <c r="D26" s="752">
        <f t="shared" ref="D26:R26" si="2">SUM(D24:D25)</f>
        <v>0</v>
      </c>
      <c r="E26" s="752">
        <f t="shared" si="2"/>
        <v>2821.923804</v>
      </c>
      <c r="F26" s="752">
        <f t="shared" si="2"/>
        <v>1.4774516018276131</v>
      </c>
      <c r="G26" s="752">
        <f t="shared" si="2"/>
        <v>614.34813249241506</v>
      </c>
      <c r="H26" s="752">
        <f t="shared" si="2"/>
        <v>0</v>
      </c>
      <c r="I26" s="752">
        <f t="shared" si="2"/>
        <v>0</v>
      </c>
      <c r="J26" s="752">
        <f t="shared" si="2"/>
        <v>0</v>
      </c>
      <c r="K26" s="752">
        <f t="shared" si="2"/>
        <v>16.591669096918856</v>
      </c>
      <c r="L26" s="752">
        <f t="shared" si="2"/>
        <v>0</v>
      </c>
      <c r="M26" s="752">
        <f t="shared" si="2"/>
        <v>0</v>
      </c>
      <c r="N26" s="752">
        <f t="shared" si="2"/>
        <v>0</v>
      </c>
      <c r="O26" s="752">
        <f t="shared" si="2"/>
        <v>0</v>
      </c>
      <c r="P26" s="752">
        <f t="shared" si="2"/>
        <v>0</v>
      </c>
      <c r="Q26" s="752">
        <f t="shared" si="2"/>
        <v>0</v>
      </c>
      <c r="R26" s="752">
        <f t="shared" si="2"/>
        <v>4857.1030571911615</v>
      </c>
      <c r="S26" s="67"/>
    </row>
    <row r="27" spans="1:19" s="441" customFormat="1" ht="17.25" thickTop="1" thickBot="1">
      <c r="A27" s="642" t="s">
        <v>109</v>
      </c>
      <c r="B27" s="744"/>
      <c r="C27" s="643">
        <f ca="1">C22+C16+C26</f>
        <v>99267.304121997324</v>
      </c>
      <c r="D27" s="643">
        <f t="shared" ref="D27:R27" ca="1" si="3">D22+D16+D26</f>
        <v>0</v>
      </c>
      <c r="E27" s="643">
        <f t="shared" ca="1" si="3"/>
        <v>163064.91926117105</v>
      </c>
      <c r="F27" s="643">
        <f t="shared" si="3"/>
        <v>3984.0075131577069</v>
      </c>
      <c r="G27" s="643">
        <f t="shared" ca="1" si="3"/>
        <v>91153.138077019976</v>
      </c>
      <c r="H27" s="643">
        <f t="shared" si="3"/>
        <v>213010.00625683297</v>
      </c>
      <c r="I27" s="643">
        <f t="shared" si="3"/>
        <v>30095.822945103053</v>
      </c>
      <c r="J27" s="643">
        <f t="shared" si="3"/>
        <v>0</v>
      </c>
      <c r="K27" s="643">
        <f t="shared" si="3"/>
        <v>2255.9199324584188</v>
      </c>
      <c r="L27" s="643">
        <f t="shared" si="3"/>
        <v>0</v>
      </c>
      <c r="M27" s="643">
        <f t="shared" ca="1" si="3"/>
        <v>0</v>
      </c>
      <c r="N27" s="643">
        <f t="shared" si="3"/>
        <v>10560.743171049471</v>
      </c>
      <c r="O27" s="643">
        <f t="shared" ca="1" si="3"/>
        <v>11263.748228973272</v>
      </c>
      <c r="P27" s="643">
        <f t="shared" si="3"/>
        <v>101.61666666666667</v>
      </c>
      <c r="Q27" s="643">
        <f t="shared" si="3"/>
        <v>629.19999999999993</v>
      </c>
      <c r="R27" s="643">
        <f t="shared" ca="1" si="3"/>
        <v>625386.42617442983</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3855.2880995385608</v>
      </c>
      <c r="D40" s="635">
        <f ca="1">tertiair!C20</f>
        <v>0</v>
      </c>
      <c r="E40" s="635">
        <f ca="1">tertiair!D20</f>
        <v>3183.7492465680002</v>
      </c>
      <c r="F40" s="635">
        <f>tertiair!E20</f>
        <v>64.707517580423598</v>
      </c>
      <c r="G40" s="635">
        <f ca="1">tertiair!F20</f>
        <v>895.83627854494955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7999.5811422319348</v>
      </c>
    </row>
    <row r="41" spans="1:18">
      <c r="A41" s="762" t="s">
        <v>214</v>
      </c>
      <c r="B41" s="769"/>
      <c r="C41" s="635">
        <f ca="1">huishoudens!B12</f>
        <v>8407.7435919389372</v>
      </c>
      <c r="D41" s="635">
        <f ca="1">huishoudens!C12</f>
        <v>0</v>
      </c>
      <c r="E41" s="635">
        <f>huishoudens!D12</f>
        <v>10866.774285004001</v>
      </c>
      <c r="F41" s="635">
        <f>huishoudens!E12</f>
        <v>536.50504737693745</v>
      </c>
      <c r="G41" s="635">
        <f>huishoudens!F12</f>
        <v>21540.284458449998</v>
      </c>
      <c r="H41" s="635">
        <f>huishoudens!G12</f>
        <v>0</v>
      </c>
      <c r="I41" s="635">
        <f>huishoudens!H12</f>
        <v>0</v>
      </c>
      <c r="J41" s="635">
        <f>huishoudens!I12</f>
        <v>0</v>
      </c>
      <c r="K41" s="635">
        <f>huishoudens!J12</f>
        <v>643.07692396930611</v>
      </c>
      <c r="L41" s="635">
        <f>huishoudens!K12</f>
        <v>0</v>
      </c>
      <c r="M41" s="635">
        <f>huishoudens!L12</f>
        <v>0</v>
      </c>
      <c r="N41" s="635">
        <f>huishoudens!M12</f>
        <v>0</v>
      </c>
      <c r="O41" s="635">
        <f>huishoudens!N12</f>
        <v>0</v>
      </c>
      <c r="P41" s="635">
        <f>huishoudens!O12</f>
        <v>0</v>
      </c>
      <c r="Q41" s="710">
        <f>huishoudens!P12</f>
        <v>0</v>
      </c>
      <c r="R41" s="790">
        <f t="shared" ca="1" si="4"/>
        <v>41994.384306739179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8492.8861665451532</v>
      </c>
      <c r="D43" s="635">
        <f ca="1">industrie!C22</f>
        <v>0</v>
      </c>
      <c r="E43" s="635">
        <f>industrie!D22</f>
        <v>18316.865539147999</v>
      </c>
      <c r="F43" s="635">
        <f>industrie!E22</f>
        <v>78.754803407836022</v>
      </c>
      <c r="G43" s="635">
        <f>industrie!F22</f>
        <v>1737.7361781939126</v>
      </c>
      <c r="H43" s="635">
        <f>industrie!G22</f>
        <v>0</v>
      </c>
      <c r="I43" s="635">
        <f>industrie!H22</f>
        <v>0</v>
      </c>
      <c r="J43" s="635">
        <f>industrie!I22</f>
        <v>0</v>
      </c>
      <c r="K43" s="635">
        <f>industrie!J22</f>
        <v>149.64528126066475</v>
      </c>
      <c r="L43" s="635">
        <f>industrie!K22</f>
        <v>0</v>
      </c>
      <c r="M43" s="635">
        <f>industrie!L22</f>
        <v>0</v>
      </c>
      <c r="N43" s="635">
        <f>industrie!M22</f>
        <v>0</v>
      </c>
      <c r="O43" s="635">
        <f>industrie!N22</f>
        <v>0</v>
      </c>
      <c r="P43" s="635">
        <f>industrie!O22</f>
        <v>0</v>
      </c>
      <c r="Q43" s="710">
        <f>industrie!P22</f>
        <v>0</v>
      </c>
      <c r="R43" s="789">
        <f t="shared" ca="1" si="4"/>
        <v>28775.887968555566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20755.917858022651</v>
      </c>
      <c r="D46" s="668">
        <f t="shared" ref="D46:Q46" ca="1" si="5">SUM(D39:D45)</f>
        <v>0</v>
      </c>
      <c r="E46" s="668">
        <f t="shared" ca="1" si="5"/>
        <v>32367.389070720001</v>
      </c>
      <c r="F46" s="668">
        <f t="shared" si="5"/>
        <v>679.9673683651971</v>
      </c>
      <c r="G46" s="668">
        <f t="shared" ca="1" si="5"/>
        <v>24173.856915188859</v>
      </c>
      <c r="H46" s="668">
        <f t="shared" si="5"/>
        <v>0</v>
      </c>
      <c r="I46" s="668">
        <f t="shared" si="5"/>
        <v>0</v>
      </c>
      <c r="J46" s="668">
        <f t="shared" si="5"/>
        <v>0</v>
      </c>
      <c r="K46" s="668">
        <f t="shared" si="5"/>
        <v>792.72220522997088</v>
      </c>
      <c r="L46" s="668">
        <f t="shared" si="5"/>
        <v>0</v>
      </c>
      <c r="M46" s="668">
        <f t="shared" ca="1" si="5"/>
        <v>0</v>
      </c>
      <c r="N46" s="668">
        <f t="shared" si="5"/>
        <v>0</v>
      </c>
      <c r="O46" s="668">
        <f t="shared" ca="1" si="5"/>
        <v>0</v>
      </c>
      <c r="P46" s="668">
        <f t="shared" si="5"/>
        <v>0</v>
      </c>
      <c r="Q46" s="668">
        <f t="shared" si="5"/>
        <v>0</v>
      </c>
      <c r="R46" s="668">
        <f ca="1">SUM(R39:R45)</f>
        <v>78769.853417526669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2.6560405258692965</v>
      </c>
      <c r="D49" s="635">
        <f ca="1">transport!C58</f>
        <v>0</v>
      </c>
      <c r="E49" s="635">
        <f>transport!D58</f>
        <v>0</v>
      </c>
      <c r="F49" s="635">
        <f>transport!E58</f>
        <v>0</v>
      </c>
      <c r="G49" s="635">
        <f>transport!F58</f>
        <v>0</v>
      </c>
      <c r="H49" s="635">
        <f>transport!G58</f>
        <v>725.2730951625033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727.92913568837264</v>
      </c>
    </row>
    <row r="50" spans="1:18">
      <c r="A50" s="765" t="s">
        <v>296</v>
      </c>
      <c r="B50" s="775"/>
      <c r="C50" s="930">
        <f ca="1">transport!B18</f>
        <v>0.56410390312135172</v>
      </c>
      <c r="D50" s="930">
        <f>transport!C18</f>
        <v>0</v>
      </c>
      <c r="E50" s="930">
        <f>transport!D18</f>
        <v>1.6960116285548918</v>
      </c>
      <c r="F50" s="930">
        <f>transport!E18</f>
        <v>224.06695560798772</v>
      </c>
      <c r="G50" s="930">
        <f>transport!F18</f>
        <v>0</v>
      </c>
      <c r="H50" s="930">
        <f>transport!G18</f>
        <v>56148.398575411906</v>
      </c>
      <c r="I50" s="930">
        <f>transport!H18</f>
        <v>7493.8599133306598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63868.585559882224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3.2201444289906482</v>
      </c>
      <c r="D52" s="668">
        <f t="shared" ref="D52:Q52" ca="1" si="6">SUM(D48:D51)</f>
        <v>0</v>
      </c>
      <c r="E52" s="668">
        <f t="shared" si="6"/>
        <v>1.6960116285548918</v>
      </c>
      <c r="F52" s="668">
        <f t="shared" si="6"/>
        <v>224.06695560798772</v>
      </c>
      <c r="G52" s="668">
        <f t="shared" si="6"/>
        <v>0</v>
      </c>
      <c r="H52" s="668">
        <f t="shared" si="6"/>
        <v>56873.671670574411</v>
      </c>
      <c r="I52" s="668">
        <f t="shared" si="6"/>
        <v>7493.8599133306598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64596.514695570593</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34.778533231035539</v>
      </c>
      <c r="D54" s="930">
        <f ca="1">+landbouw!C12</f>
        <v>0</v>
      </c>
      <c r="E54" s="930">
        <f>+landbouw!D12</f>
        <v>22.684762408000001</v>
      </c>
      <c r="F54" s="930">
        <f>+landbouw!E12</f>
        <v>0.33538151361486818</v>
      </c>
      <c r="G54" s="930">
        <f>+landbouw!F12</f>
        <v>164.03095137547484</v>
      </c>
      <c r="H54" s="930">
        <f>+landbouw!G12</f>
        <v>0</v>
      </c>
      <c r="I54" s="930">
        <f>+landbouw!H12</f>
        <v>0</v>
      </c>
      <c r="J54" s="930">
        <f>+landbouw!I12</f>
        <v>0</v>
      </c>
      <c r="K54" s="930">
        <f>+landbouw!J12</f>
        <v>5.8734508603092745</v>
      </c>
      <c r="L54" s="930">
        <f>+landbouw!K12</f>
        <v>0</v>
      </c>
      <c r="M54" s="930">
        <f>+landbouw!L12</f>
        <v>0</v>
      </c>
      <c r="N54" s="930">
        <f>+landbouw!M12</f>
        <v>0</v>
      </c>
      <c r="O54" s="930">
        <f>+landbouw!N12</f>
        <v>0</v>
      </c>
      <c r="P54" s="930">
        <f>+landbouw!O12</f>
        <v>0</v>
      </c>
      <c r="Q54" s="931">
        <f>+landbouw!P12</f>
        <v>0</v>
      </c>
      <c r="R54" s="667">
        <f ca="1">SUM(C54:Q54)</f>
        <v>227.70307938843453</v>
      </c>
    </row>
    <row r="55" spans="1:18" ht="15" thickBot="1">
      <c r="A55" s="765" t="s">
        <v>864</v>
      </c>
      <c r="B55" s="775"/>
      <c r="C55" s="930">
        <f ca="1">C25*'EF ele_warmte'!B12</f>
        <v>262.77693794558428</v>
      </c>
      <c r="D55" s="930"/>
      <c r="E55" s="930">
        <f>E25*EF_CO2_aardgas</f>
        <v>547.3438460000001</v>
      </c>
      <c r="F55" s="930"/>
      <c r="G55" s="930"/>
      <c r="H55" s="930"/>
      <c r="I55" s="930"/>
      <c r="J55" s="930"/>
      <c r="K55" s="930"/>
      <c r="L55" s="930"/>
      <c r="M55" s="930"/>
      <c r="N55" s="930"/>
      <c r="O55" s="930"/>
      <c r="P55" s="930"/>
      <c r="Q55" s="931"/>
      <c r="R55" s="667">
        <f ca="1">SUM(C55:Q55)</f>
        <v>810.12078394558444</v>
      </c>
    </row>
    <row r="56" spans="1:18" ht="15.75" thickBot="1">
      <c r="A56" s="763" t="s">
        <v>865</v>
      </c>
      <c r="B56" s="776"/>
      <c r="C56" s="668">
        <f ca="1">SUM(C54:C55)</f>
        <v>297.55547117661979</v>
      </c>
      <c r="D56" s="668">
        <f t="shared" ref="D56:Q56" ca="1" si="7">SUM(D54:D55)</f>
        <v>0</v>
      </c>
      <c r="E56" s="668">
        <f t="shared" si="7"/>
        <v>570.02860840800008</v>
      </c>
      <c r="F56" s="668">
        <f t="shared" si="7"/>
        <v>0.33538151361486818</v>
      </c>
      <c r="G56" s="668">
        <f t="shared" si="7"/>
        <v>164.03095137547484</v>
      </c>
      <c r="H56" s="668">
        <f t="shared" si="7"/>
        <v>0</v>
      </c>
      <c r="I56" s="668">
        <f t="shared" si="7"/>
        <v>0</v>
      </c>
      <c r="J56" s="668">
        <f t="shared" si="7"/>
        <v>0</v>
      </c>
      <c r="K56" s="668">
        <f t="shared" si="7"/>
        <v>5.8734508603092745</v>
      </c>
      <c r="L56" s="668">
        <f t="shared" si="7"/>
        <v>0</v>
      </c>
      <c r="M56" s="668">
        <f t="shared" si="7"/>
        <v>0</v>
      </c>
      <c r="N56" s="668">
        <f t="shared" si="7"/>
        <v>0</v>
      </c>
      <c r="O56" s="668">
        <f t="shared" si="7"/>
        <v>0</v>
      </c>
      <c r="P56" s="668">
        <f t="shared" si="7"/>
        <v>0</v>
      </c>
      <c r="Q56" s="669">
        <f t="shared" si="7"/>
        <v>0</v>
      </c>
      <c r="R56" s="670">
        <f ca="1">SUM(R54:R55)</f>
        <v>1037.8238633340191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21056.69347362826</v>
      </c>
      <c r="D61" s="676">
        <f t="shared" ref="D61:Q61" ca="1" si="8">D46+D52+D56</f>
        <v>0</v>
      </c>
      <c r="E61" s="676">
        <f t="shared" ca="1" si="8"/>
        <v>32939.11369075656</v>
      </c>
      <c r="F61" s="676">
        <f t="shared" si="8"/>
        <v>904.36970548679972</v>
      </c>
      <c r="G61" s="676">
        <f t="shared" ca="1" si="8"/>
        <v>24337.887866564335</v>
      </c>
      <c r="H61" s="676">
        <f t="shared" si="8"/>
        <v>56873.671670574411</v>
      </c>
      <c r="I61" s="676">
        <f t="shared" si="8"/>
        <v>7493.8599133306598</v>
      </c>
      <c r="J61" s="676">
        <f t="shared" si="8"/>
        <v>0</v>
      </c>
      <c r="K61" s="676">
        <f t="shared" si="8"/>
        <v>798.59565609028016</v>
      </c>
      <c r="L61" s="676">
        <f t="shared" si="8"/>
        <v>0</v>
      </c>
      <c r="M61" s="676">
        <f t="shared" ca="1" si="8"/>
        <v>0</v>
      </c>
      <c r="N61" s="676">
        <f t="shared" si="8"/>
        <v>0</v>
      </c>
      <c r="O61" s="676">
        <f t="shared" ca="1" si="8"/>
        <v>0</v>
      </c>
      <c r="P61" s="676">
        <f t="shared" si="8"/>
        <v>0</v>
      </c>
      <c r="Q61" s="676">
        <f t="shared" si="8"/>
        <v>0</v>
      </c>
      <c r="R61" s="676">
        <f ca="1">R46+R52+R56</f>
        <v>144404.19197643129</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0.21212113756761289</v>
      </c>
      <c r="D63" s="720">
        <f t="shared" ca="1" si="9"/>
        <v>0</v>
      </c>
      <c r="E63" s="932">
        <f t="shared" ca="1" si="9"/>
        <v>0.20200000000000004</v>
      </c>
      <c r="F63" s="720">
        <f t="shared" si="9"/>
        <v>0.22700000000000006</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3988.1481327291594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3988.1481327291594</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39636.519435782284</v>
      </c>
      <c r="C4" s="445">
        <f>huishoudens!C8</f>
        <v>0</v>
      </c>
      <c r="D4" s="445">
        <f>huishoudens!D8</f>
        <v>53795.912302000004</v>
      </c>
      <c r="E4" s="445">
        <f>huishoudens!E8</f>
        <v>2363.4583584887109</v>
      </c>
      <c r="F4" s="445">
        <f>huishoudens!F8</f>
        <v>80675.222690823954</v>
      </c>
      <c r="G4" s="445">
        <f>huishoudens!G8</f>
        <v>0</v>
      </c>
      <c r="H4" s="445">
        <f>huishoudens!H8</f>
        <v>0</v>
      </c>
      <c r="I4" s="445">
        <f>huishoudens!I8</f>
        <v>0</v>
      </c>
      <c r="J4" s="445">
        <f>huishoudens!J8</f>
        <v>1816.601480139283</v>
      </c>
      <c r="K4" s="445">
        <f>huishoudens!K8</f>
        <v>0</v>
      </c>
      <c r="L4" s="445">
        <f>huishoudens!L8</f>
        <v>0</v>
      </c>
      <c r="M4" s="445">
        <f>huishoudens!M8</f>
        <v>0</v>
      </c>
      <c r="N4" s="445">
        <f>huishoudens!N8</f>
        <v>10301.557468673327</v>
      </c>
      <c r="O4" s="445">
        <f>huishoudens!O8</f>
        <v>101.61666666666667</v>
      </c>
      <c r="P4" s="446">
        <f>huishoudens!P8</f>
        <v>591.06666666666661</v>
      </c>
      <c r="Q4" s="447">
        <f>SUM(B4:P4)</f>
        <v>189281.95506924091</v>
      </c>
    </row>
    <row r="5" spans="1:17">
      <c r="A5" s="444" t="s">
        <v>149</v>
      </c>
      <c r="B5" s="445">
        <f ca="1">tertiair!B16</f>
        <v>16870.872000000003</v>
      </c>
      <c r="C5" s="445">
        <f ca="1">tertiair!C16</f>
        <v>0</v>
      </c>
      <c r="D5" s="445">
        <f ca="1">tertiair!D16</f>
        <v>15761.134883999999</v>
      </c>
      <c r="E5" s="445">
        <f>tertiair!E16</f>
        <v>285.05514352609515</v>
      </c>
      <c r="F5" s="445">
        <f ca="1">tertiair!F16</f>
        <v>3355.1920544754662</v>
      </c>
      <c r="G5" s="445">
        <f>tertiair!G16</f>
        <v>0</v>
      </c>
      <c r="H5" s="445">
        <f>tertiair!H16</f>
        <v>0</v>
      </c>
      <c r="I5" s="445">
        <f>tertiair!I16</f>
        <v>0</v>
      </c>
      <c r="J5" s="445">
        <f>tertiair!J16</f>
        <v>0</v>
      </c>
      <c r="K5" s="445">
        <f>tertiair!K16</f>
        <v>0</v>
      </c>
      <c r="L5" s="445">
        <f ca="1">tertiair!L16</f>
        <v>0</v>
      </c>
      <c r="M5" s="445">
        <f>tertiair!M16</f>
        <v>0</v>
      </c>
      <c r="N5" s="445">
        <f ca="1">tertiair!N16</f>
        <v>469.71229958393599</v>
      </c>
      <c r="O5" s="445">
        <f>tertiair!O16</f>
        <v>0</v>
      </c>
      <c r="P5" s="446">
        <f>tertiair!P16</f>
        <v>38.133333333333333</v>
      </c>
      <c r="Q5" s="444">
        <f t="shared" ref="Q5:Q14" ca="1" si="0">SUM(B5:P5)</f>
        <v>36780.099714918833</v>
      </c>
    </row>
    <row r="6" spans="1:17">
      <c r="A6" s="444" t="s">
        <v>187</v>
      </c>
      <c r="B6" s="445">
        <f>'openbare verlichting'!B8</f>
        <v>1304.0640000000001</v>
      </c>
      <c r="C6" s="445"/>
      <c r="D6" s="445"/>
      <c r="E6" s="445"/>
      <c r="F6" s="445"/>
      <c r="G6" s="445"/>
      <c r="H6" s="445"/>
      <c r="I6" s="445"/>
      <c r="J6" s="445"/>
      <c r="K6" s="445"/>
      <c r="L6" s="445"/>
      <c r="M6" s="445"/>
      <c r="N6" s="445"/>
      <c r="O6" s="445"/>
      <c r="P6" s="446"/>
      <c r="Q6" s="444">
        <f t="shared" si="0"/>
        <v>1304.0640000000001</v>
      </c>
    </row>
    <row r="7" spans="1:17">
      <c r="A7" s="444" t="s">
        <v>105</v>
      </c>
      <c r="B7" s="445">
        <f>landbouw!B8</f>
        <v>163.95599999999999</v>
      </c>
      <c r="C7" s="445">
        <f>landbouw!C8</f>
        <v>0</v>
      </c>
      <c r="D7" s="445">
        <f>landbouw!D8</f>
        <v>112.300804</v>
      </c>
      <c r="E7" s="445">
        <f>landbouw!E8</f>
        <v>1.4774516018276131</v>
      </c>
      <c r="F7" s="445">
        <f>landbouw!F8</f>
        <v>614.34813249241506</v>
      </c>
      <c r="G7" s="445">
        <f>landbouw!G8</f>
        <v>0</v>
      </c>
      <c r="H7" s="445">
        <f>landbouw!H8</f>
        <v>0</v>
      </c>
      <c r="I7" s="445">
        <f>landbouw!I8</f>
        <v>0</v>
      </c>
      <c r="J7" s="445">
        <f>landbouw!J8</f>
        <v>16.591669096918856</v>
      </c>
      <c r="K7" s="445">
        <f>landbouw!K8</f>
        <v>0</v>
      </c>
      <c r="L7" s="445">
        <f>landbouw!L8</f>
        <v>0</v>
      </c>
      <c r="M7" s="445">
        <f>landbouw!M8</f>
        <v>0</v>
      </c>
      <c r="N7" s="445">
        <f>landbouw!N8</f>
        <v>0</v>
      </c>
      <c r="O7" s="445">
        <f>landbouw!O8</f>
        <v>0</v>
      </c>
      <c r="P7" s="446">
        <f>landbouw!P8</f>
        <v>0</v>
      </c>
      <c r="Q7" s="444">
        <f t="shared" si="0"/>
        <v>908.67405719116152</v>
      </c>
    </row>
    <row r="8" spans="1:17">
      <c r="A8" s="444" t="s">
        <v>613</v>
      </c>
      <c r="B8" s="445">
        <f>industrie!B18</f>
        <v>40037.905999999995</v>
      </c>
      <c r="C8" s="445">
        <f>industrie!C18</f>
        <v>0</v>
      </c>
      <c r="D8" s="445">
        <f>industrie!D18</f>
        <v>90677.552173999997</v>
      </c>
      <c r="E8" s="445">
        <f>industrie!E18</f>
        <v>346.93745994641421</v>
      </c>
      <c r="F8" s="445">
        <f>industrie!F18</f>
        <v>6508.3751992281368</v>
      </c>
      <c r="G8" s="445">
        <f>industrie!G18</f>
        <v>0</v>
      </c>
      <c r="H8" s="445">
        <f>industrie!H18</f>
        <v>0</v>
      </c>
      <c r="I8" s="445">
        <f>industrie!I18</f>
        <v>0</v>
      </c>
      <c r="J8" s="445">
        <f>industrie!J18</f>
        <v>422.72678322221685</v>
      </c>
      <c r="K8" s="445">
        <f>industrie!K18</f>
        <v>0</v>
      </c>
      <c r="L8" s="445">
        <f>industrie!L18</f>
        <v>0</v>
      </c>
      <c r="M8" s="445">
        <f>industrie!M18</f>
        <v>0</v>
      </c>
      <c r="N8" s="445">
        <f>industrie!N18</f>
        <v>492.47846071600929</v>
      </c>
      <c r="O8" s="445">
        <f>industrie!O18</f>
        <v>0</v>
      </c>
      <c r="P8" s="446">
        <f>industrie!P18</f>
        <v>0</v>
      </c>
      <c r="Q8" s="444">
        <f t="shared" si="0"/>
        <v>138485.97607711278</v>
      </c>
    </row>
    <row r="9" spans="1:17" s="450" customFormat="1">
      <c r="A9" s="448" t="s">
        <v>555</v>
      </c>
      <c r="B9" s="449">
        <f>transport!B14</f>
        <v>2.6593479065307459</v>
      </c>
      <c r="C9" s="449">
        <f>transport!C14</f>
        <v>0</v>
      </c>
      <c r="D9" s="449">
        <f>transport!D14</f>
        <v>8.3960971710638201</v>
      </c>
      <c r="E9" s="449">
        <f>transport!E14</f>
        <v>987.07909959465951</v>
      </c>
      <c r="F9" s="449">
        <f>transport!F14</f>
        <v>0</v>
      </c>
      <c r="G9" s="449">
        <f>transport!G14</f>
        <v>210293.62762326555</v>
      </c>
      <c r="H9" s="449">
        <f>transport!H14</f>
        <v>30095.822945103053</v>
      </c>
      <c r="I9" s="449">
        <f>transport!I14</f>
        <v>0</v>
      </c>
      <c r="J9" s="449">
        <f>transport!J14</f>
        <v>0</v>
      </c>
      <c r="K9" s="449">
        <f>transport!K14</f>
        <v>0</v>
      </c>
      <c r="L9" s="449">
        <f>transport!L14</f>
        <v>0</v>
      </c>
      <c r="M9" s="449">
        <f>transport!M14</f>
        <v>10444.438272246898</v>
      </c>
      <c r="N9" s="449">
        <f>transport!N14</f>
        <v>0</v>
      </c>
      <c r="O9" s="449">
        <f>transport!O14</f>
        <v>0</v>
      </c>
      <c r="P9" s="449">
        <f>transport!P14</f>
        <v>0</v>
      </c>
      <c r="Q9" s="448">
        <f>SUM(B9:P9)</f>
        <v>251832.02338528773</v>
      </c>
    </row>
    <row r="10" spans="1:17">
      <c r="A10" s="444" t="s">
        <v>545</v>
      </c>
      <c r="B10" s="445">
        <f>transport!B54</f>
        <v>12.521338308506348</v>
      </c>
      <c r="C10" s="445">
        <f>transport!C54</f>
        <v>0</v>
      </c>
      <c r="D10" s="445">
        <f>transport!D54</f>
        <v>0</v>
      </c>
      <c r="E10" s="445">
        <f>transport!E54</f>
        <v>0</v>
      </c>
      <c r="F10" s="445">
        <f>transport!F54</f>
        <v>0</v>
      </c>
      <c r="G10" s="445">
        <f>transport!G54</f>
        <v>2716.3786335674281</v>
      </c>
      <c r="H10" s="445">
        <f>transport!H54</f>
        <v>0</v>
      </c>
      <c r="I10" s="445">
        <f>transport!I54</f>
        <v>0</v>
      </c>
      <c r="J10" s="445">
        <f>transport!J54</f>
        <v>0</v>
      </c>
      <c r="K10" s="445">
        <f>transport!K54</f>
        <v>0</v>
      </c>
      <c r="L10" s="445">
        <f>transport!L54</f>
        <v>0</v>
      </c>
      <c r="M10" s="445">
        <f>transport!M54</f>
        <v>116.30489880257215</v>
      </c>
      <c r="N10" s="445">
        <f>transport!N54</f>
        <v>0</v>
      </c>
      <c r="O10" s="445">
        <f>transport!O54</f>
        <v>0</v>
      </c>
      <c r="P10" s="446">
        <f>transport!P54</f>
        <v>0</v>
      </c>
      <c r="Q10" s="444">
        <f t="shared" si="0"/>
        <v>2845.2048706785067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1238.806</v>
      </c>
      <c r="C14" s="452"/>
      <c r="D14" s="452">
        <f>'SEAP template'!E25</f>
        <v>2709.623</v>
      </c>
      <c r="E14" s="452"/>
      <c r="F14" s="452"/>
      <c r="G14" s="452"/>
      <c r="H14" s="452"/>
      <c r="I14" s="452"/>
      <c r="J14" s="452"/>
      <c r="K14" s="452"/>
      <c r="L14" s="452"/>
      <c r="M14" s="452"/>
      <c r="N14" s="452"/>
      <c r="O14" s="452"/>
      <c r="P14" s="453"/>
      <c r="Q14" s="444">
        <f t="shared" si="0"/>
        <v>3948.4290000000001</v>
      </c>
    </row>
    <row r="15" spans="1:17" s="457" customFormat="1">
      <c r="A15" s="454" t="s">
        <v>549</v>
      </c>
      <c r="B15" s="455">
        <f ca="1">SUM(B4:B14)</f>
        <v>99267.304121997324</v>
      </c>
      <c r="C15" s="455">
        <f t="shared" ref="C15:Q15" ca="1" si="1">SUM(C4:C14)</f>
        <v>0</v>
      </c>
      <c r="D15" s="455">
        <f t="shared" ca="1" si="1"/>
        <v>163064.91926117105</v>
      </c>
      <c r="E15" s="455">
        <f t="shared" si="1"/>
        <v>3984.0075131577069</v>
      </c>
      <c r="F15" s="455">
        <f t="shared" ca="1" si="1"/>
        <v>91153.138077019976</v>
      </c>
      <c r="G15" s="455">
        <f t="shared" si="1"/>
        <v>213010.00625683297</v>
      </c>
      <c r="H15" s="455">
        <f t="shared" si="1"/>
        <v>30095.822945103053</v>
      </c>
      <c r="I15" s="455">
        <f t="shared" si="1"/>
        <v>0</v>
      </c>
      <c r="J15" s="455">
        <f t="shared" si="1"/>
        <v>2255.9199324584188</v>
      </c>
      <c r="K15" s="455">
        <f t="shared" si="1"/>
        <v>0</v>
      </c>
      <c r="L15" s="455">
        <f t="shared" ca="1" si="1"/>
        <v>0</v>
      </c>
      <c r="M15" s="455">
        <f t="shared" si="1"/>
        <v>10560.743171049471</v>
      </c>
      <c r="N15" s="455">
        <f t="shared" ca="1" si="1"/>
        <v>11263.748228973272</v>
      </c>
      <c r="O15" s="455">
        <f t="shared" si="1"/>
        <v>101.61666666666667</v>
      </c>
      <c r="P15" s="455">
        <f t="shared" si="1"/>
        <v>629.19999999999993</v>
      </c>
      <c r="Q15" s="455">
        <f t="shared" ca="1" si="1"/>
        <v>625386.42617442994</v>
      </c>
    </row>
    <row r="17" spans="1:17">
      <c r="A17" s="458" t="s">
        <v>550</v>
      </c>
      <c r="B17" s="725">
        <f ca="1">huishoudens!B10</f>
        <v>0.21212113756761292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8407.7435919389372</v>
      </c>
      <c r="C22" s="445">
        <f t="shared" ref="C22:C32" ca="1" si="3">C4*$C$17</f>
        <v>0</v>
      </c>
      <c r="D22" s="445">
        <f t="shared" ref="D22:D32" si="4">D4*$D$17</f>
        <v>10866.774285004001</v>
      </c>
      <c r="E22" s="445">
        <f t="shared" ref="E22:E32" si="5">E4*$E$17</f>
        <v>536.50504737693745</v>
      </c>
      <c r="F22" s="445">
        <f t="shared" ref="F22:F32" si="6">F4*$F$17</f>
        <v>21540.284458449998</v>
      </c>
      <c r="G22" s="445">
        <f t="shared" ref="G22:G32" si="7">G4*$G$17</f>
        <v>0</v>
      </c>
      <c r="H22" s="445">
        <f t="shared" ref="H22:H32" si="8">H4*$H$17</f>
        <v>0</v>
      </c>
      <c r="I22" s="445">
        <f t="shared" ref="I22:I32" si="9">I4*$I$17</f>
        <v>0</v>
      </c>
      <c r="J22" s="445">
        <f t="shared" ref="J22:J32" si="10">J4*$J$17</f>
        <v>643.07692396930611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41994.384306739179</v>
      </c>
    </row>
    <row r="23" spans="1:17">
      <c r="A23" s="444" t="s">
        <v>149</v>
      </c>
      <c r="B23" s="445">
        <f t="shared" ca="1" si="2"/>
        <v>3578.6685603975893</v>
      </c>
      <c r="C23" s="445">
        <f t="shared" ca="1" si="3"/>
        <v>0</v>
      </c>
      <c r="D23" s="445">
        <f t="shared" ca="1" si="4"/>
        <v>3183.7492465680002</v>
      </c>
      <c r="E23" s="445">
        <f t="shared" si="5"/>
        <v>64.707517580423598</v>
      </c>
      <c r="F23" s="445">
        <f t="shared" ca="1" si="6"/>
        <v>895.83627854494955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7722.9616030909638</v>
      </c>
    </row>
    <row r="24" spans="1:17">
      <c r="A24" s="444" t="s">
        <v>187</v>
      </c>
      <c r="B24" s="445">
        <f t="shared" ca="1" si="2"/>
        <v>276.6195391409716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276.6195391409716</v>
      </c>
    </row>
    <row r="25" spans="1:17">
      <c r="A25" s="444" t="s">
        <v>105</v>
      </c>
      <c r="B25" s="445">
        <f t="shared" ca="1" si="2"/>
        <v>34.778533231035539</v>
      </c>
      <c r="C25" s="445">
        <f t="shared" ca="1" si="3"/>
        <v>0</v>
      </c>
      <c r="D25" s="445">
        <f t="shared" si="4"/>
        <v>22.684762408000001</v>
      </c>
      <c r="E25" s="445">
        <f t="shared" si="5"/>
        <v>0.33538151361486818</v>
      </c>
      <c r="F25" s="445">
        <f t="shared" si="6"/>
        <v>164.03095137547484</v>
      </c>
      <c r="G25" s="445">
        <f t="shared" si="7"/>
        <v>0</v>
      </c>
      <c r="H25" s="445">
        <f t="shared" si="8"/>
        <v>0</v>
      </c>
      <c r="I25" s="445">
        <f t="shared" si="9"/>
        <v>0</v>
      </c>
      <c r="J25" s="445">
        <f t="shared" si="10"/>
        <v>5.8734508603092745</v>
      </c>
      <c r="K25" s="445">
        <f t="shared" si="11"/>
        <v>0</v>
      </c>
      <c r="L25" s="445">
        <f t="shared" si="12"/>
        <v>0</v>
      </c>
      <c r="M25" s="445">
        <f t="shared" si="13"/>
        <v>0</v>
      </c>
      <c r="N25" s="445">
        <f t="shared" si="14"/>
        <v>0</v>
      </c>
      <c r="O25" s="445">
        <f t="shared" si="15"/>
        <v>0</v>
      </c>
      <c r="P25" s="446">
        <f t="shared" si="16"/>
        <v>0</v>
      </c>
      <c r="Q25" s="444">
        <f t="shared" ca="1" si="17"/>
        <v>227.70307938843453</v>
      </c>
    </row>
    <row r="26" spans="1:17">
      <c r="A26" s="444" t="s">
        <v>613</v>
      </c>
      <c r="B26" s="445">
        <f t="shared" ca="1" si="2"/>
        <v>8492.8861665451532</v>
      </c>
      <c r="C26" s="445">
        <f t="shared" ca="1" si="3"/>
        <v>0</v>
      </c>
      <c r="D26" s="445">
        <f t="shared" si="4"/>
        <v>18316.865539147999</v>
      </c>
      <c r="E26" s="445">
        <f t="shared" si="5"/>
        <v>78.754803407836022</v>
      </c>
      <c r="F26" s="445">
        <f t="shared" si="6"/>
        <v>1737.7361781939126</v>
      </c>
      <c r="G26" s="445">
        <f t="shared" si="7"/>
        <v>0</v>
      </c>
      <c r="H26" s="445">
        <f t="shared" si="8"/>
        <v>0</v>
      </c>
      <c r="I26" s="445">
        <f t="shared" si="9"/>
        <v>0</v>
      </c>
      <c r="J26" s="445">
        <f t="shared" si="10"/>
        <v>149.64528126066475</v>
      </c>
      <c r="K26" s="445">
        <f t="shared" si="11"/>
        <v>0</v>
      </c>
      <c r="L26" s="445">
        <f t="shared" si="12"/>
        <v>0</v>
      </c>
      <c r="M26" s="445">
        <f t="shared" si="13"/>
        <v>0</v>
      </c>
      <c r="N26" s="445">
        <f t="shared" si="14"/>
        <v>0</v>
      </c>
      <c r="O26" s="445">
        <f t="shared" si="15"/>
        <v>0</v>
      </c>
      <c r="P26" s="446">
        <f t="shared" si="16"/>
        <v>0</v>
      </c>
      <c r="Q26" s="444">
        <f t="shared" ca="1" si="17"/>
        <v>28775.887968555566</v>
      </c>
    </row>
    <row r="27" spans="1:17" s="450" customFormat="1">
      <c r="A27" s="448" t="s">
        <v>555</v>
      </c>
      <c r="B27" s="719">
        <f t="shared" ca="1" si="2"/>
        <v>0.56410390312135172</v>
      </c>
      <c r="C27" s="449">
        <f t="shared" ca="1" si="3"/>
        <v>0</v>
      </c>
      <c r="D27" s="449">
        <f t="shared" si="4"/>
        <v>1.6960116285548918</v>
      </c>
      <c r="E27" s="449">
        <f t="shared" si="5"/>
        <v>224.06695560798772</v>
      </c>
      <c r="F27" s="449">
        <f t="shared" si="6"/>
        <v>0</v>
      </c>
      <c r="G27" s="449">
        <f t="shared" si="7"/>
        <v>56148.398575411906</v>
      </c>
      <c r="H27" s="449">
        <f t="shared" si="8"/>
        <v>7493.8599133306598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63868.585559882224</v>
      </c>
    </row>
    <row r="28" spans="1:17">
      <c r="A28" s="444" t="s">
        <v>545</v>
      </c>
      <c r="B28" s="445">
        <f t="shared" ca="1" si="2"/>
        <v>2.6560405258692965</v>
      </c>
      <c r="C28" s="445">
        <f t="shared" ca="1" si="3"/>
        <v>0</v>
      </c>
      <c r="D28" s="445">
        <f t="shared" si="4"/>
        <v>0</v>
      </c>
      <c r="E28" s="445">
        <f t="shared" si="5"/>
        <v>0</v>
      </c>
      <c r="F28" s="445">
        <f t="shared" si="6"/>
        <v>0</v>
      </c>
      <c r="G28" s="445">
        <f t="shared" si="7"/>
        <v>725.2730951625033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727.92913568837264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262.77693794558428</v>
      </c>
      <c r="C32" s="445">
        <f t="shared" ca="1" si="3"/>
        <v>0</v>
      </c>
      <c r="D32" s="445">
        <f t="shared" si="4"/>
        <v>547.3438460000001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810.12078394558444</v>
      </c>
    </row>
    <row r="33" spans="1:17" s="457" customFormat="1">
      <c r="A33" s="454" t="s">
        <v>549</v>
      </c>
      <c r="B33" s="455">
        <f ca="1">SUM(B22:B32)</f>
        <v>21056.693473628264</v>
      </c>
      <c r="C33" s="455">
        <f t="shared" ref="C33:Q33" ca="1" si="19">SUM(C22:C32)</f>
        <v>0</v>
      </c>
      <c r="D33" s="455">
        <f t="shared" ca="1" si="19"/>
        <v>32939.11369075656</v>
      </c>
      <c r="E33" s="455">
        <f t="shared" si="19"/>
        <v>904.3697054867996</v>
      </c>
      <c r="F33" s="455">
        <f t="shared" ca="1" si="19"/>
        <v>24337.887866564335</v>
      </c>
      <c r="G33" s="455">
        <f t="shared" si="19"/>
        <v>56873.671670574411</v>
      </c>
      <c r="H33" s="455">
        <f t="shared" si="19"/>
        <v>7493.8599133306598</v>
      </c>
      <c r="I33" s="455">
        <f t="shared" si="19"/>
        <v>0</v>
      </c>
      <c r="J33" s="455">
        <f t="shared" si="19"/>
        <v>798.59565609028016</v>
      </c>
      <c r="K33" s="455">
        <f t="shared" si="19"/>
        <v>0</v>
      </c>
      <c r="L33" s="455">
        <f t="shared" ca="1" si="19"/>
        <v>0</v>
      </c>
      <c r="M33" s="455">
        <f t="shared" si="19"/>
        <v>0</v>
      </c>
      <c r="N33" s="455">
        <f t="shared" ca="1" si="19"/>
        <v>0</v>
      </c>
      <c r="O33" s="455">
        <f t="shared" si="19"/>
        <v>0</v>
      </c>
      <c r="P33" s="455">
        <f t="shared" si="19"/>
        <v>0</v>
      </c>
      <c r="Q33" s="455">
        <f t="shared" ca="1" si="19"/>
        <v>144404.19197643129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3988.1481327291594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3988.1481327291594</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0.21212113756761292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0.21212113756761292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2022-07-26T13:05:53Z</dcterms:modified>
</cp:coreProperties>
</file>