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5F3EF28-9EA6-4F60-AD46-70EAB6FB6B2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<sst xmlns="http://schemas.openxmlformats.org/spreadsheetml/2006/main" count="2518" uniqueCount="965">
  <si>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</si>
  <si>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</si>
  <si>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</si>
  <si>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</si>
  <si>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</si>
  <si>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</si>
  <si>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</si>
  <si>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</si>
  <si>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</si>
  <si>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</si>
  <si>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</si>
  <si>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</si>
  <si>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</si>
  <si>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</si>
  <si>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</si>
  <si>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</si>
  <si>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</si>
  <si>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</si>
  <si>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</si>
  <si>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</si>
  <si>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</si>
  <si>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</si>
  <si>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</si>
  <si>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</si>
  <si>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</si>
  <si>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</si>
  <si>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</si>
  <si>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</si>
  <si>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</si>
  <si>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</si>
  <si>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</si>
  <si>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</si>
  <si>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</si>
  <si>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</si>
  <si>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</si>
  <si>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</si>
  <si>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</si>
  <si>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</si>
  <si>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</si>
  <si>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</si>
  <si>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</si>
  <si>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</si>
  <si>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</si>
  <si>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</si>
  <si>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</si>
  <si>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</si>
  <si>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</si>
  <si>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</si>
  <si>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</si>
  <si>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</si>
  <si>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</si>
  <si>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</si>
  <si>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</si>
  <si>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</si>
  <si>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</si>
  <si>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</si>
  <si>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</si>
  <si>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</si>
  <si>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</si>
  <si>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</si>
  <si>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</si>
  <si>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</si>
  <si>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</si>
  <si>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</si>
  <si>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</si>
  <si>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</si>
  <si>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</si>
  <si>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</si>
  <si>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</si>
  <si>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</si>
  <si>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</si>
  <si>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</si>
  <si>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</si>
  <si>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</si>
  <si>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</si>
  <si>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</si>
  <si>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</si>
  <si>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</si>
  <si>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</si>
  <si>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</si>
  <si>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</si>
  <si>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</si>
  <si>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</si>
  <si>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</si>
  <si>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</si>
  <si>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</si>
  <si>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</si>
  <si>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</si>
  <si>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</si>
  <si>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</si>
  <si>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</si>
  <si>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</si>
  <si>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</si>
  <si>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</si>
  <si>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</si>
  <si>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</si>
  <si>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</si>
  <si>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</si>
  <si>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</si>
  <si>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</si>
  <si>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</si>
  <si>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</si>
  <si>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</si>
  <si>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</si>
  <si>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</si>
  <si>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</si>
  <si>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</si>
  <si>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</si>
  <si>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</si>
  <si>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</si>
  <si>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</si>
  <si>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</si>
  <si>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</si>
  <si>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</si>
  <si>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</si>
  <si>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</si>
  <si>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</si>
  <si>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</si>
  <si>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</si>
  <si>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</si>
  <si>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</si>
  <si>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</si>
  <si>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</si>
  <si>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</si>
  <si>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</si>
  <si>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</si>
  <si>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</si>
  <si>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</si>
  <si>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</si>
  <si>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</si>
  <si>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</si>
  <si>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</si>
  <si>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</si>
  <si>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</si>
  <si>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</si>
  <si>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</si>
  <si>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</si>
  <si>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</si>
  <si>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</si>
  <si>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</si>
  <si>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</si>
  <si>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</si>
  <si>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</si>
  <si>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</si>
  <si>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</si>
  <si>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</si>
  <si>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</si>
  <si>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</si>
  <si>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</si>
  <si>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</si>
  <si>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</si>
  <si>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</si>
  <si>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</si>
  <si>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</si>
  <si>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</si>
  <si>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</si>
  <si>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</si>
  <si>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</si>
  <si>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</si>
  <si>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</si>
  <si>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</si>
  <si>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</si>
  <si>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</si>
  <si>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</si>
  <si>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</si>
  <si>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</si>
  <si>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</si>
  <si>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</si>
  <si>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</si>
  <si>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</si>
  <si>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</si>
  <si>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</si>
  <si>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</si>
  <si>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</si>
  <si>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</si>
  <si>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</si>
  <si>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</si>
  <si>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</si>
  <si>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</si>
  <si>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</si>
  <si>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</si>
  <si>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</si>
  <si>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</si>
  <si>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</si>
  <si>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</si>
  <si>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</si>
  <si>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</si>
  <si>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</si>
  <si>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</si>
  <si>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</si>
  <si>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</si>
  <si>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</si>
  <si>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</si>
  <si>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</si>
  <si>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</si>
  <si>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</si>
  <si>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</si>
  <si>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</si>
  <si>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</si>
  <si>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</si>
  <si>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</si>
  <si>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</si>
  <si>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</si>
  <si>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</si>
  <si>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</si>
  <si>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</si>
  <si>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</si>
  <si>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</si>
  <si>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</si>
  <si>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</si>
  <si>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</si>
  <si>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</si>
  <si>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</si>
  <si>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</si>
  <si>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</si>
  <si>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</si>
  <si>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</si>
  <si>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</si>
  <si>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</si>
  <si>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</si>
  <si>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</si>
  <si>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</si>
  <si>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</si>
  <si>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</si>
  <si>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</si>
  <si>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</si>
  <si>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</si>
  <si>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</si>
  <si>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</si>
  <si>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</si>
  <si>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</si>
  <si>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</si>
  <si>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</si>
  <si>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</si>
  <si>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</si>
  <si>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</si>
  <si>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</si>
  <si>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</si>
  <si>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</si>
  <si>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</si>
  <si>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</si>
  <si>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</si>
  <si>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</si>
  <si>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</si>
  <si>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</si>
  <si>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</si>
  <si>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</si>
  <si>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</si>
  <si>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</si>
  <si>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</si>
  <si>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</si>
  <si>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</si>
  <si>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</si>
  <si>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</si>
  <si>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</si>
  <si>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</si>
  <si>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</si>
  <si>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</si>
  <si>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</si>
  <si>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</si>
  <si>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</si>
  <si>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</si>
  <si>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</si>
  <si>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</si>
  <si>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</si>
  <si>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</si>
  <si>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</si>
  <si>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</si>
  <si>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</si>
  <si>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</si>
  <si>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</si>
  <si>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</si>
  <si>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</si>
  <si>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</si>
  <si>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</si>
  <si>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</si>
  <si>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</si>
  <si>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</si>
  <si>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</si>
  <si>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</si>
  <si>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</si>
  <si>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</si>
  <si>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</si>
  <si>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</si>
  <si>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</si>
  <si>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</si>
  <si>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</si>
  <si>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</si>
  <si>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</si>
  <si>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</si>
  <si>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</si>
  <si>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</si>
  <si>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</si>
  <si>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</si>
  <si>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</si>
  <si>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</si>
  <si>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</si>
  <si>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</si>
  <si>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</si>
  <si>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</si>
  <si>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</si>
  <si>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</si>
  <si>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</si>
  <si>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</si>
  <si>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</si>
  <si>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</si>
  <si>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</si>
  <si>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</si>
  <si>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</si>
  <si>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</si>
  <si>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</si>
  <si>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</si>
  <si>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</si>
  <si>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</si>
  <si>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</si>
  <si>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</si>
  <si>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</si>
  <si>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</si>
  <si>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</si>
  <si>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</si>
  <si>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</si>
  <si>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</si>
  <si>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</si>
  <si>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</si>
  <si>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</si>
  <si>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</si>
  <si>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</si>
  <si>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</si>
  <si>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</si>
  <si>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</si>
  <si>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</si>
  <si>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</si>
  <si>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</si>
  <si>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</si>
  <si>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</si>
  <si>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</si>
  <si>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</si>
  <si>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</si>
  <si>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</si>
  <si>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</si>
  <si>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</si>
  <si>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</si>
  <si>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</si>
  <si>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</si>
  <si>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</si>
  <si>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</si>
  <si>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</si>
  <si>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</si>
  <si>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</si>
  <si>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</si>
  <si>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</si>
  <si>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</si>
  <si>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</si>
  <si>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</si>
  <si>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</si>
  <si>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</si>
  <si>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</si>
  <si>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</si>
  <si>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</si>
  <si>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</si>
  <si>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</si>
  <si>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</si>
  <si>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</si>
  <si>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</si>
  <si>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</si>
  <si>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</si>
  <si>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</si>
  <si>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</si>
  <si>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</si>
  <si>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</si>
  <si>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</si>
  <si>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</si>
  <si>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</si>
  <si>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</si>
  <si>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</si>
  <si>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</si>
  <si>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</si>
  <si>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</si>
  <si>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</si>
  <si>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</si>
  <si>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</si>
  <si>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</si>
  <si>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</si>
  <si>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</si>
  <si>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</si>
  <si>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</si>
  <si>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</si>
  <si>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</si>
  <si>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</si>
  <si>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</si>
  <si>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</si>
  <si>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</si>
  <si>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</si>
  <si>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</si>
  <si>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</si>
  <si>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</si>
  <si>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</si>
  <si>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</si>
  <si>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</si>
  <si>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</si>
  <si>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</si>
  <si>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</si>
  <si>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</si>
  <si>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</si>
  <si>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</si>
  <si>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</si>
  <si>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</si>
  <si>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</si>
  <si>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</si>
  <si>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</si>
  <si>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</si>
  <si>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</si>
  <si>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</si>
  <si>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</si>
  <si>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</si>
  <si>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</si>
  <si>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</si>
  <si>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</si>
  <si>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</si>
  <si>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</si>
  <si>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</si>
  <si>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</si>
  <si>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</si>
  <si>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</si>
  <si>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</si>
  <si>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</si>
  <si>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</si>
  <si>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</si>
  <si>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</si>
  <si>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</si>
  <si>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</si>
  <si>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</si>
  <si>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</si>
  <si>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</si>
  <si>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</si>
  <si>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</si>
  <si>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</si>
  <si>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</si>
  <si>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</si>
  <si>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</si>
  <si>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</si>
  <si>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</si>
  <si>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</si>
  <si>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</si>
  <si>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</si>
  <si>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</si>
  <si>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</si>
  <si>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</si>
  <si>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</si>
  <si>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</si>
  <si>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</si>
  <si>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</si>
  <si>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</si>
  <si>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</si>
  <si>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</si>
  <si>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</si>
  <si>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</si>
  <si>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</si>
  <si>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</si>
  <si>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</si>
  <si>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</si>
  <si>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</si>
  <si>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</si>
  <si>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</si>
  <si>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</si>
  <si>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</si>
  <si>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</si>
  <si>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</si>
  <si>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</si>
  <si>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</si>
  <si>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</si>
  <si>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</si>
  <si>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</si>
  <si>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</si>
  <si>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</si>
  <si>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</si>
  <si>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</si>
  <si>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</si>
  <si>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</si>
  <si>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</si>
  <si>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</si>
  <si>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</si>
  <si>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</si>
  <si>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</si>
  <si>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</si>
  <si>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</si>
  <si>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</si>
  <si>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</si>
  <si>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</si>
  <si>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</si>
  <si>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</si>
  <si>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</si>
  <si>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</si>
  <si>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</si>
  <si>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</si>
  <si>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</si>
  <si>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</si>
  <si>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</si>
  <si>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</si>
  <si>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</si>
  <si>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</si>
  <si>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</si>
  <si>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</si>
  <si>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</si>
  <si>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</si>
  <si>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</si>
  <si>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</si>
  <si>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</si>
  <si>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</si>
  <si>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</si>
  <si>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</si>
  <si>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</si>
  <si>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</si>
  <si>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</si>
  <si>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</si>
  <si>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</si>
  <si>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</si>
  <si>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</si>
  <si>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</si>
  <si>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</si>
  <si>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</si>
  <si>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</si>
  <si>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</si>
  <si>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</si>
  <si>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</si>
  <si>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</si>
  <si>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</si>
  <si>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</si>
  <si>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</si>
  <si>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</si>
  <si>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</si>
  <si>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</si>
  <si>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</si>
  <si>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</si>
  <si>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</si>
  <si>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</si>
  <si>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</si>
  <si>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</si>
  <si>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</si>
  <si>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</si>
  <si>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</si>
  <si>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</si>
  <si>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</si>
  <si>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</si>
  <si>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</si>
  <si>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</si>
  <si>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</si>
  <si>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</si>
  <si>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</si>
  <si>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</si>
  <si>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</si>
  <si>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</si>
  <si>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</si>
  <si>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</si>
  <si>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</si>
  <si>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</si>
  <si>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</si>
  <si>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</si>
  <si>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</si>
  <si>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</si>
  <si>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</si>
  <si>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</si>
  <si>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</si>
  <si>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</si>
  <si>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</si>
  <si>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</si>
  <si>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</si>
  <si>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</si>
  <si>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</si>
  <si>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</si>
  <si>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</si>
  <si>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</si>
  <si>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</si>
  <si>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</si>
  <si>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</si>
  <si>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</si>
  <si>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</si>
  <si>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</si>
  <si>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</si>
  <si>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</si>
  <si>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</si>
  <si>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</si>
  <si>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</si>
  <si>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</si>
  <si>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</si>
  <si>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</si>
  <si>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</si>
  <si>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</si>
  <si>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</si>
  <si>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</si>
  <si>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</si>
  <si>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</si>
  <si>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</si>
  <si>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</si>
  <si>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</si>
  <si>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</si>
  <si>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</si>
  <si>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</si>
  <si>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</si>
  <si>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</si>
  <si>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</si>
  <si>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</si>
  <si>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</si>
  <si>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</si>
  <si>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</si>
  <si>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</si>
  <si>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</si>
  <si>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</si>
  <si>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</si>
  <si>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</si>
  <si>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</si>
  <si>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</si>
  <si>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</si>
  <si>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</si>
  <si>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</si>
  <si>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</si>
  <si>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</si>
  <si>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</si>
  <si>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</si>
  <si>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</si>
  <si>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</si>
  <si>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</si>
  <si>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</si>
  <si>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</si>
  <si>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</si>
  <si>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</si>
  <si>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</si>
  <si>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</si>
  <si>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</si>
  <si>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</si>
  <si>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</si>
  <si>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</si>
  <si>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</si>
  <si>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</si>
  <si>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</si>
  <si>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</si>
  <si>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</si>
  <si>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</si>
  <si>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</si>
  <si>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</si>
  <si>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</si>
  <si>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</si>
  <si>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</si>
  <si>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</si>
  <si>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</si>
  <si>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</si>
  <si>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</si>
  <si>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</si>
  <si>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</si>
  <si>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</si>
  <si>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</si>
  <si>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</si>
  <si>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</si>
  <si>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</si>
  <si>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</si>
  <si>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</si>
  <si>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</si>
  <si>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</si>
  <si>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</si>
  <si>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</si>
  <si>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</si>
  <si>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</si>
  <si>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</si>
  <si>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</si>
  <si>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</si>
  <si>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</si>
  <si>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</si>
  <si>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</si>
  <si>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</si>
  <si>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</si>
  <si>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</si>
  <si>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</si>
  <si>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</si>
  <si>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</si>
  <si>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</si>
  <si>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</si>
  <si>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</si>
  <si>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</si>
  <si>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</si>
  <si>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</si>
  <si>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</si>
  <si>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</si>
  <si>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</si>
  <si>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</si>
  <si>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</si>
  <si>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</si>
  <si>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</si>
  <si>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</si>
  <si>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</si>
  <si>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</si>
  <si>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</si>
  <si>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</si>
  <si>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</si>
  <si>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</si>
  <si>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</si>
  <si>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</si>
  <si>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</si>
  <si>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</si>
  <si>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</si>
  <si>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</si>
  <si>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</si>
  <si>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</si>
  <si>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</si>
  <si>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</si>
  <si>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</si>
  <si>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</si>
  <si>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</si>
  <si>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</si>
  <si>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</si>
  <si>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</si>
  <si>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</si>
  <si>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</si>
  <si>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</si>
  <si>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</si>
  <si>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</si>
  <si>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</si>
  <si>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</si>
  <si>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</si>
  <si>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</si>
  <si>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</si>
  <si>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</si>
  <si>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</si>
  <si>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</si>
  <si>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</si>
  <si>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</si>
  <si>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</si>
  <si>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</si>
  <si>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</si>
  <si>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</si>
  <si>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</si>
  <si>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</si>
  <si>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</si>
  <si>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</si>
  <si>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</si>
  <si>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</si>
  <si>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</si>
  <si>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</si>
  <si>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</si>
  <si>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</si>
  <si>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</si>
  <si>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</si>
  <si>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</si>
  <si>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</si>
  <si>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</si>
  <si>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</si>
  <si>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</si>
  <si>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</si>
  <si>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</si>
  <si>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</si>
  <si>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</si>
  <si>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</si>
  <si>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</si>
  <si>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</si>
  <si>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</si>
  <si>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</si>
  <si>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</si>
  <si>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</si>
  <si>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</si>
  <si>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</si>
  <si>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</si>
  <si>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</si>
  <si>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</si>
  <si>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</si>
  <si>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</si>
  <si>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</si>
  <si>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</si>
  <si>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</si>
  <si>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</si>
  <si>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</si>
  <si>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</si>
  <si>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</si>
  <si>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</si>
  <si>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</si>
  <si>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</si>
  <si>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</si>
  <si>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</si>
  <si>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</si>
  <si>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</si>
  <si>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</si>
  <si>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</si>
  <si>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</si>
  <si>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</si>
  <si>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</si>
  <si>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</si>
  <si>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</si>
  <si>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</si>
  <si>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</si>
  <si>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</si>
  <si>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</si>
  <si>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</si>
  <si>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</si>
  <si>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</si>
  <si>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</si>
  <si>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</si>
  <si>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</si>
  <si>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</si>
  <si>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</si>
  <si>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</si>
  <si>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</si>
  <si>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</si>
  <si>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</si>
  <si>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</si>
  <si>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</si>
  <si>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</si>
  <si>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</si>
  <si>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</si>
  <si>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</si>
  <si>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</si>
  <si>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</si>
  <si>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</si>
  <si>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</si>
  <si>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</si>
  <si>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</si>
  <si>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</si>
  <si>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</si>
  <si>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</si>
  <si>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</si>
  <si>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</si>
  <si>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</si>
  <si>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</si>
  <si>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</si>
  <si>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</si>
  <si>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</si>
  <si>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</si>
  <si>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</si>
  <si>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</si>
  <si>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</si>
  <si>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</si>
  <si>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</si>
  <si>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</si>
  <si>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</si>
  <si>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</si>
  <si>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</si>
  <si>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</si>
  <si>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</si>
  <si>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</si>
  <si>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</si>
  <si>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</si>
  <si>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</si>
  <si>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</si>
  <si>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</si>
  <si>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</si>
  <si>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</si>
  <si>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</si>
  <si>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</si>
  <si>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</si>
  <si>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</si>
  <si>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</si>
  <si>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</si>
  <si>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</si>
  <si>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</si>
  <si>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</si>
  <si>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</si>
  <si>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</si>
  <si>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</si>
  <si>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</si>
  <si>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</si>
  <si>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</si>
  <si>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</si>
  <si>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</si>
  <si>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</si>
  <si>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</si>
  <si>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</si>
  <si>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</si>
  <si>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</si>
  <si>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</si>
  <si>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</si>
  <si>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</si>
  <si>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</si>
  <si>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</si>
  <si>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</si>
  <si>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</si>
  <si>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</si>
  <si>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</si>
  <si>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</si>
  <si>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</si>
  <si>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</si>
  <si>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</si>
  <si>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</si>
  <si>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</si>
  <si>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</si>
  <si>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</si>
  <si>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</si>
  <si>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</si>
  <si>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</si>
  <si>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</si>
  <si>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</si>
  <si>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</si>
  <si>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</si>
  <si>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</si>
  <si>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</si>
  <si>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</si>
  <si>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</si>
  <si>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</si>
  <si>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</si>
  <si>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</si>
  <si>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</si>
  <si>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</si>
  <si>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</si>
  <si>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</si>
  <si>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</si>
  <si>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</si>
  <si>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</si>
  <si>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</si>
  <si>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</si>
  <si>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</si>
  <si>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</si>
  <si>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</si>
  <si>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</si>
  <si>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</si>
  <si>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</si>
  <si>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</si>
  <si>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</si>
  <si>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</si>
  <si>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</si>
  <si>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</si>
  <si>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</si>
  <si>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</si>
  <si>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</si>
  <si>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</si>
  <si>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</si>
  <si>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</si>
  <si>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</si>
  <si>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</si>
  <si>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</si>
  <si>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</si>
  <si>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</si>
  <si>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</si>
  <si>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</si>
  <si>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</si>
  <si>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</si>
  <si>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</si>
  <si>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</si>
  <si>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</si>
  <si>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</si>
  <si>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</si>
  <si>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</si>
  <si>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</si>
  <si>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</si>
  <si>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</si>
  <si>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</si>
  <si>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</si>
  <si>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</si>
  <si>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</si>
  <si>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</si>
  <si>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</si>
  <si>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</si>
  <si>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</si>
  <si>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</si>
  <si>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</si>
  <si>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</si>
  <si>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</si>
  <si>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</si>
  <si>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</si>
  <si>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</si>
  <si>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</si>
  <si>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</si>
  <si>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71034</t>
  </si>
  <si>
    <t>LEOPOLDSBURG</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</si>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</sst>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13E7BC7-0E1C-477E-A8F8-AA7D085CA61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71034</v>
      </c>
      <c r="B6" s="382"/>
      <c r="C6" s="383"/>
    </row>
    <row r="7" spans="1:7" s="380" customFormat="1" ht="15.75" customHeight="1">
      <c r="A7" s="384" t="str">
        <f>txtMunicipality</f>
        <v>LEOPOLDSBURG</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0.21555534555476885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0.21555534555476885</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6292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398</v>
      </c>
      <c r="C14" s="324"/>
      <c r="D14" s="324"/>
      <c r="E14" s="324"/>
      <c r="F14" s="324"/>
    </row>
    <row r="15" spans="1:6">
      <c r="A15" s="1235" t="s">
        <v>177</v>
      </c>
      <c r="B15" s="1236">
        <v>143</v>
      </c>
      <c r="C15" s="324"/>
      <c r="D15" s="324"/>
      <c r="E15" s="324"/>
      <c r="F15" s="324"/>
    </row>
    <row r="16" spans="1:6">
      <c r="A16" s="1235" t="s">
        <v>6</v>
      </c>
      <c r="B16" s="1236">
        <v>35</v>
      </c>
      <c r="C16" s="324"/>
      <c r="D16" s="324"/>
      <c r="E16" s="324"/>
      <c r="F16" s="324"/>
    </row>
    <row r="17" spans="1:6">
      <c r="A17" s="1235" t="s">
        <v>7</v>
      </c>
      <c r="B17" s="1236">
        <v>11</v>
      </c>
      <c r="C17" s="324"/>
      <c r="D17" s="324"/>
      <c r="E17" s="324"/>
      <c r="F17" s="324"/>
    </row>
    <row r="18" spans="1:6">
      <c r="A18" s="1235" t="s">
        <v>8</v>
      </c>
      <c r="B18" s="1236">
        <v>47</v>
      </c>
      <c r="C18" s="324"/>
      <c r="D18" s="324"/>
      <c r="E18" s="324"/>
      <c r="F18" s="324"/>
    </row>
    <row r="19" spans="1:6">
      <c r="A19" s="1235" t="s">
        <v>9</v>
      </c>
      <c r="B19" s="1236">
        <v>34</v>
      </c>
      <c r="C19" s="324"/>
      <c r="D19" s="324"/>
      <c r="E19" s="324"/>
      <c r="F19" s="324"/>
    </row>
    <row r="20" spans="1:6">
      <c r="A20" s="1235" t="s">
        <v>10</v>
      </c>
      <c r="B20" s="1236">
        <v>34</v>
      </c>
      <c r="C20" s="324"/>
      <c r="D20" s="324"/>
      <c r="E20" s="324"/>
      <c r="F20" s="324"/>
    </row>
    <row r="21" spans="1:6">
      <c r="A21" s="1235" t="s">
        <v>11</v>
      </c>
      <c r="B21" s="1236">
        <v>0</v>
      </c>
      <c r="C21" s="324"/>
      <c r="D21" s="324"/>
      <c r="E21" s="324"/>
      <c r="F21" s="324"/>
    </row>
    <row r="22" spans="1:6">
      <c r="A22" s="1235" t="s">
        <v>12</v>
      </c>
      <c r="B22" s="1236">
        <v>188</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58</v>
      </c>
      <c r="C29" s="324"/>
      <c r="D29" s="324"/>
      <c r="E29" s="324"/>
      <c r="F29" s="324"/>
    </row>
    <row r="30" spans="1:6">
      <c r="A30" s="1230" t="s">
        <v>960</v>
      </c>
      <c r="B30" s="1238">
        <v>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6</v>
      </c>
      <c r="F36" s="1236">
        <v>26291</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2986</v>
      </c>
      <c r="D39" s="1236">
        <v>50029336</v>
      </c>
      <c r="E39" s="1236">
        <v>6363</v>
      </c>
      <c r="F39" s="1236">
        <v>28075657</v>
      </c>
    </row>
    <row r="40" spans="1:6">
      <c r="A40" s="1235" t="s">
        <v>29</v>
      </c>
      <c r="B40" s="1235" t="s">
        <v>28</v>
      </c>
      <c r="C40" s="1236">
        <v>0</v>
      </c>
      <c r="D40" s="1236">
        <v>0</v>
      </c>
      <c r="E40" s="1236">
        <v>0</v>
      </c>
      <c r="F40" s="1236">
        <v>0</v>
      </c>
    </row>
    <row r="41" spans="1:6">
      <c r="A41" s="1235" t="s">
        <v>31</v>
      </c>
      <c r="B41" s="1235" t="s">
        <v>32</v>
      </c>
      <c r="C41" s="1236">
        <v>19</v>
      </c>
      <c r="D41" s="1236">
        <v>558934</v>
      </c>
      <c r="E41" s="1236">
        <v>62</v>
      </c>
      <c r="F41" s="1236">
        <v>726516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5</v>
      </c>
      <c r="D44" s="1236">
        <v>183487</v>
      </c>
      <c r="E44" s="1236">
        <v>6</v>
      </c>
      <c r="F44" s="1236">
        <v>52116</v>
      </c>
    </row>
    <row r="45" spans="1:6">
      <c r="A45" s="1235" t="s">
        <v>31</v>
      </c>
      <c r="B45" s="1235" t="s">
        <v>36</v>
      </c>
      <c r="C45" s="1236">
        <v>0</v>
      </c>
      <c r="D45" s="1236">
        <v>0</v>
      </c>
      <c r="E45" s="1236">
        <v>3</v>
      </c>
      <c r="F45" s="1236">
        <v>562060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123767</v>
      </c>
      <c r="E48" s="1236">
        <v>3</v>
      </c>
      <c r="F48" s="1236">
        <v>46557</v>
      </c>
    </row>
    <row r="49" spans="1:6">
      <c r="A49" s="1235" t="s">
        <v>31</v>
      </c>
      <c r="B49" s="1235" t="s">
        <v>39</v>
      </c>
      <c r="C49" s="1236">
        <v>0</v>
      </c>
      <c r="D49" s="1236">
        <v>0</v>
      </c>
      <c r="E49" s="1236">
        <v>0</v>
      </c>
      <c r="F49" s="1236">
        <v>0</v>
      </c>
    </row>
    <row r="50" spans="1:6">
      <c r="A50" s="1235" t="s">
        <v>31</v>
      </c>
      <c r="B50" s="1235" t="s">
        <v>40</v>
      </c>
      <c r="C50" s="1236">
        <v>6</v>
      </c>
      <c r="D50" s="1236">
        <v>410845</v>
      </c>
      <c r="E50" s="1236">
        <v>13</v>
      </c>
      <c r="F50" s="1236">
        <v>607408</v>
      </c>
    </row>
    <row r="51" spans="1:6">
      <c r="A51" s="1235" t="s">
        <v>41</v>
      </c>
      <c r="B51" s="1235" t="s">
        <v>42</v>
      </c>
      <c r="C51" s="1236">
        <v>0</v>
      </c>
      <c r="D51" s="1236">
        <v>0</v>
      </c>
      <c r="E51" s="1236">
        <v>8</v>
      </c>
      <c r="F51" s="1236">
        <v>139305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69</v>
      </c>
      <c r="F54" s="1236">
        <v>816557</v>
      </c>
    </row>
    <row r="55" spans="1:6">
      <c r="A55" s="1235" t="s">
        <v>45</v>
      </c>
      <c r="B55" s="1235" t="s">
        <v>28</v>
      </c>
      <c r="C55" s="1236">
        <v>0</v>
      </c>
      <c r="D55" s="1236">
        <v>0</v>
      </c>
      <c r="E55" s="1236">
        <v>0</v>
      </c>
      <c r="F55" s="1236">
        <v>0</v>
      </c>
    </row>
    <row r="56" spans="1:6">
      <c r="A56" s="1235" t="s">
        <v>47</v>
      </c>
      <c r="B56" s="1235" t="s">
        <v>28</v>
      </c>
      <c r="C56" s="1236">
        <v>40</v>
      </c>
      <c r="D56" s="1236">
        <v>30488936</v>
      </c>
      <c r="E56" s="1236">
        <v>139</v>
      </c>
      <c r="F56" s="1236">
        <v>8074245</v>
      </c>
    </row>
    <row r="57" spans="1:6">
      <c r="A57" s="1235" t="s">
        <v>48</v>
      </c>
      <c r="B57" s="1235" t="s">
        <v>49</v>
      </c>
      <c r="C57" s="1236">
        <v>30</v>
      </c>
      <c r="D57" s="1236">
        <v>1176399</v>
      </c>
      <c r="E57" s="1236">
        <v>68</v>
      </c>
      <c r="F57" s="1236">
        <v>971684</v>
      </c>
    </row>
    <row r="58" spans="1:6">
      <c r="A58" s="1235" t="s">
        <v>48</v>
      </c>
      <c r="B58" s="1235" t="s">
        <v>50</v>
      </c>
      <c r="C58" s="1236">
        <v>17</v>
      </c>
      <c r="D58" s="1236">
        <v>2022196</v>
      </c>
      <c r="E58" s="1236">
        <v>26</v>
      </c>
      <c r="F58" s="1236">
        <v>740964</v>
      </c>
    </row>
    <row r="59" spans="1:6">
      <c r="A59" s="1235" t="s">
        <v>48</v>
      </c>
      <c r="B59" s="1235" t="s">
        <v>51</v>
      </c>
      <c r="C59" s="1236">
        <v>56</v>
      </c>
      <c r="D59" s="1236">
        <v>2278236</v>
      </c>
      <c r="E59" s="1236">
        <v>171</v>
      </c>
      <c r="F59" s="1236">
        <v>5029661</v>
      </c>
    </row>
    <row r="60" spans="1:6">
      <c r="A60" s="1235" t="s">
        <v>48</v>
      </c>
      <c r="B60" s="1235" t="s">
        <v>52</v>
      </c>
      <c r="C60" s="1236">
        <v>32</v>
      </c>
      <c r="D60" s="1236">
        <v>1484971</v>
      </c>
      <c r="E60" s="1236">
        <v>51</v>
      </c>
      <c r="F60" s="1236">
        <v>1348178</v>
      </c>
    </row>
    <row r="61" spans="1:6">
      <c r="A61" s="1235" t="s">
        <v>48</v>
      </c>
      <c r="B61" s="1235" t="s">
        <v>53</v>
      </c>
      <c r="C61" s="1236">
        <v>66</v>
      </c>
      <c r="D61" s="1236">
        <v>36087257</v>
      </c>
      <c r="E61" s="1236">
        <v>197</v>
      </c>
      <c r="F61" s="1236">
        <v>2931426</v>
      </c>
    </row>
    <row r="62" spans="1:6">
      <c r="A62" s="1235" t="s">
        <v>48</v>
      </c>
      <c r="B62" s="1235" t="s">
        <v>54</v>
      </c>
      <c r="C62" s="1236">
        <v>0</v>
      </c>
      <c r="D62" s="1236">
        <v>0</v>
      </c>
      <c r="E62" s="1236">
        <v>8</v>
      </c>
      <c r="F62" s="1236">
        <v>295463</v>
      </c>
    </row>
    <row r="63" spans="1:6">
      <c r="A63" s="1235" t="s">
        <v>48</v>
      </c>
      <c r="B63" s="1235" t="s">
        <v>28</v>
      </c>
      <c r="C63" s="1236">
        <v>1</v>
      </c>
      <c r="D63" s="1236">
        <v>13262</v>
      </c>
      <c r="E63" s="1236">
        <v>0</v>
      </c>
      <c r="F63" s="1236">
        <v>0</v>
      </c>
    </row>
    <row r="64" spans="1:6">
      <c r="A64" s="1235" t="s">
        <v>55</v>
      </c>
      <c r="B64" s="1235" t="s">
        <v>56</v>
      </c>
      <c r="C64" s="1236">
        <v>0</v>
      </c>
      <c r="D64" s="1236">
        <v>0</v>
      </c>
      <c r="E64" s="1236">
        <v>0</v>
      </c>
      <c r="F64" s="1236">
        <v>0</v>
      </c>
    </row>
    <row r="65" spans="1:6">
      <c r="A65" s="1235" t="s">
        <v>55</v>
      </c>
      <c r="B65" s="1235" t="s">
        <v>28</v>
      </c>
      <c r="C65" s="1236">
        <v>2</v>
      </c>
      <c r="D65" s="1236">
        <v>29185</v>
      </c>
      <c r="E65" s="1236">
        <v>2</v>
      </c>
      <c r="F65" s="1236">
        <v>5532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59190625</v>
      </c>
      <c r="E73" s="443"/>
      <c r="F73" s="324"/>
    </row>
    <row r="74" spans="1:6">
      <c r="A74" s="1235" t="s">
        <v>63</v>
      </c>
      <c r="B74" s="1235" t="s">
        <v>730</v>
      </c>
      <c r="C74" s="1248" t="s">
        <v>731</v>
      </c>
      <c r="D74" s="1236">
        <v>3721475.1558060735</v>
      </c>
      <c r="E74" s="443"/>
      <c r="F74" s="324"/>
    </row>
    <row r="75" spans="1:6">
      <c r="A75" s="1235" t="s">
        <v>64</v>
      </c>
      <c r="B75" s="1235" t="s">
        <v>728</v>
      </c>
      <c r="C75" s="1248" t="s">
        <v>732</v>
      </c>
      <c r="D75" s="1236">
        <v>22212877</v>
      </c>
      <c r="E75" s="443"/>
      <c r="F75" s="324"/>
    </row>
    <row r="76" spans="1:6">
      <c r="A76" s="1235" t="s">
        <v>64</v>
      </c>
      <c r="B76" s="1235" t="s">
        <v>730</v>
      </c>
      <c r="C76" s="1248" t="s">
        <v>733</v>
      </c>
      <c r="D76" s="1236">
        <v>182061.15580607351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374775.68838785298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1370.552489451793</v>
      </c>
      <c r="C91" s="324"/>
      <c r="D91" s="324"/>
      <c r="E91" s="324"/>
      <c r="F91" s="324"/>
    </row>
    <row r="92" spans="1:6">
      <c r="A92" s="1230" t="s">
        <v>68</v>
      </c>
      <c r="B92" s="1231">
        <v>37.755653097758589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1130</v>
      </c>
      <c r="C97" s="324"/>
      <c r="D97" s="324"/>
      <c r="E97" s="324"/>
      <c r="F97" s="324"/>
    </row>
    <row r="98" spans="1:6">
      <c r="A98" s="1235" t="s">
        <v>71</v>
      </c>
      <c r="B98" s="1236">
        <v>3</v>
      </c>
      <c r="C98" s="324"/>
      <c r="D98" s="324"/>
      <c r="E98" s="324"/>
      <c r="F98" s="324"/>
    </row>
    <row r="99" spans="1:6">
      <c r="A99" s="1235" t="s">
        <v>72</v>
      </c>
      <c r="B99" s="1236">
        <v>45</v>
      </c>
      <c r="C99" s="324"/>
      <c r="D99" s="324"/>
      <c r="E99" s="324"/>
      <c r="F99" s="324"/>
    </row>
    <row r="100" spans="1:6">
      <c r="A100" s="1235" t="s">
        <v>73</v>
      </c>
      <c r="B100" s="1236">
        <v>630</v>
      </c>
      <c r="C100" s="324"/>
      <c r="D100" s="324"/>
      <c r="E100" s="324"/>
      <c r="F100" s="324"/>
    </row>
    <row r="101" spans="1:6">
      <c r="A101" s="1235" t="s">
        <v>74</v>
      </c>
      <c r="B101" s="1236">
        <v>47</v>
      </c>
      <c r="C101" s="324"/>
      <c r="D101" s="324"/>
      <c r="E101" s="324"/>
      <c r="F101" s="324"/>
    </row>
    <row r="102" spans="1:6">
      <c r="A102" s="1235" t="s">
        <v>75</v>
      </c>
      <c r="B102" s="1236">
        <v>102</v>
      </c>
      <c r="C102" s="324"/>
      <c r="D102" s="324"/>
      <c r="E102" s="324"/>
      <c r="F102" s="324"/>
    </row>
    <row r="103" spans="1:6">
      <c r="A103" s="1235" t="s">
        <v>76</v>
      </c>
      <c r="B103" s="1236">
        <v>123</v>
      </c>
      <c r="C103" s="324"/>
      <c r="D103" s="324"/>
      <c r="E103" s="324"/>
      <c r="F103" s="324"/>
    </row>
    <row r="104" spans="1:6">
      <c r="A104" s="1235" t="s">
        <v>77</v>
      </c>
      <c r="B104" s="1236">
        <v>3335</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46</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53118.530035131058</v>
      </c>
      <c r="C3" s="43" t="s">
        <v>163</v>
      </c>
      <c r="D3" s="43"/>
      <c r="E3" s="155"/>
      <c r="F3" s="43"/>
      <c r="G3" s="43"/>
      <c r="H3" s="43"/>
      <c r="I3" s="43"/>
      <c r="J3" s="43"/>
      <c r="K3" s="96"/>
    </row>
    <row r="4" spans="1:11">
      <c r="A4" s="350" t="s">
        <v>164</v>
      </c>
      <c r="B4" s="49">
        <f>IF(ISERROR('SEAP template'!B78+'SEAP template'!C78),0,'SEAP template'!B78+'SEAP template'!C78)</f>
        <v>2731.3081425495516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314.40705882352944</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0.21555534555476885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449.15294117647068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1890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816.55700000000002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816.55700000000002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0.21555534555476885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176.0132263001654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28075.656999999999</v>
      </c>
      <c r="C5" s="17">
        <f>IF(ISERROR('Eigen informatie GS &amp; warmtenet'!B57),0,'Eigen informatie GS &amp; warmtenet'!B57)</f>
        <v>0</v>
      </c>
      <c r="D5" s="30">
        <f>(SUM(HH_hh_gas_kWh,HH_rest_gas_kWh)/1000)*0.902</f>
        <v>45126.461072000006</v>
      </c>
      <c r="E5" s="17">
        <f>B32*B41</f>
        <v>1663.9538444231866</v>
      </c>
      <c r="F5" s="17">
        <f>B36*B45</f>
        <v>56798.058854707939</v>
      </c>
      <c r="G5" s="18"/>
      <c r="H5" s="17"/>
      <c r="I5" s="17"/>
      <c r="J5" s="17">
        <f>B35*B44+C35*C44</f>
        <v>1278.9482860173903</v>
      </c>
      <c r="K5" s="17"/>
      <c r="L5" s="17"/>
      <c r="M5" s="17"/>
      <c r="N5" s="17">
        <f>B34*B43+C34*C43</f>
        <v>7883.6013724009817</v>
      </c>
      <c r="O5" s="17">
        <f>B52*B53*B54</f>
        <v>76.603333333333339</v>
      </c>
      <c r="P5" s="17">
        <f>B60*B61*B62/1000-B60*B61*B62/1000/B63</f>
        <v>152.53333333333333</v>
      </c>
    </row>
    <row r="6" spans="1:16">
      <c r="A6" s="16" t="s">
        <v>591</v>
      </c>
      <c r="B6" s="727">
        <f>kWh_PV_kleiner_dan_10kW</f>
        <v>1370.552489451793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29446.209489451794</v>
      </c>
      <c r="C8" s="21">
        <f>C5</f>
        <v>0</v>
      </c>
      <c r="D8" s="21">
        <f>D5</f>
        <v>45126.461072000006</v>
      </c>
      <c r="E8" s="21">
        <f>E5</f>
        <v>1663.9538444231866</v>
      </c>
      <c r="F8" s="21">
        <f>F5</f>
        <v>56798.058854707939</v>
      </c>
      <c r="G8" s="21"/>
      <c r="H8" s="21"/>
      <c r="I8" s="21"/>
      <c r="J8" s="21">
        <f>J5</f>
        <v>1278.9482860173903</v>
      </c>
      <c r="K8" s="21"/>
      <c r="L8" s="21">
        <f>L5</f>
        <v>0</v>
      </c>
      <c r="M8" s="21">
        <f>M5</f>
        <v>0</v>
      </c>
      <c r="N8" s="21">
        <f>N5</f>
        <v>7883.6013724009817</v>
      </c>
      <c r="O8" s="21">
        <f>O5</f>
        <v>76.603333333333339</v>
      </c>
      <c r="P8" s="21">
        <f>P5</f>
        <v>152.53333333333333</v>
      </c>
    </row>
    <row r="9" spans="1:16">
      <c r="B9" s="19"/>
      <c r="C9" s="19"/>
      <c r="D9" s="255"/>
      <c r="E9" s="19"/>
      <c r="F9" s="19"/>
      <c r="G9" s="19"/>
      <c r="H9" s="19"/>
      <c r="I9" s="19"/>
      <c r="J9" s="19"/>
      <c r="K9" s="19"/>
      <c r="L9" s="19"/>
      <c r="M9" s="19"/>
      <c r="N9" s="19"/>
      <c r="O9" s="19"/>
      <c r="P9" s="19"/>
    </row>
    <row r="10" spans="1:16">
      <c r="A10" s="24" t="s">
        <v>207</v>
      </c>
      <c r="B10" s="25">
        <f ca="1">'EF ele_warmte'!B12</f>
        <v>0.21555534555476885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6347.2878617768947</v>
      </c>
      <c r="C12" s="23">
        <f ca="1">C10*C8</f>
        <v>0</v>
      </c>
      <c r="D12" s="23">
        <f>D8*D10</f>
        <v>9115.5451365440022</v>
      </c>
      <c r="E12" s="23">
        <f>E10*E8</f>
        <v>377.7175226840634</v>
      </c>
      <c r="F12" s="23">
        <f>F10*F8</f>
        <v>15165.081714207021</v>
      </c>
      <c r="G12" s="23"/>
      <c r="H12" s="23"/>
      <c r="I12" s="23"/>
      <c r="J12" s="23">
        <f>J10*J8</f>
        <v>452.74769325015615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6292</v>
      </c>
      <c r="C26" s="36"/>
      <c r="D26" s="225"/>
    </row>
    <row r="27" spans="1:5" s="15" customFormat="1">
      <c r="A27" s="227" t="s">
        <v>671</v>
      </c>
      <c r="B27" s="37">
        <f>SUM(HH_hh_gas_aantal,HH_rest_gas_aantal)</f>
        <v>2986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2836.7</v>
      </c>
      <c r="C31" s="34" t="s">
        <v>104</v>
      </c>
      <c r="D31" s="171"/>
    </row>
    <row r="32" spans="1:5">
      <c r="A32" s="168" t="s">
        <v>72</v>
      </c>
      <c r="B32" s="33">
        <f>IF((B21*($B$26-($B$27-0.05*$B$27)-$B$60))&lt;0,0,B21*($B$26-($B$27-0.05*$B$27)-$B$60))</f>
        <v>24.439870011688075</v>
      </c>
      <c r="C32" s="34" t="s">
        <v>104</v>
      </c>
      <c r="D32" s="171"/>
    </row>
    <row r="33" spans="1:6">
      <c r="A33" s="168" t="s">
        <v>73</v>
      </c>
      <c r="B33" s="33">
        <f>IF((B22*($B$26-($B$27-0.05*$B$27)-$B$60))&lt;0,0,B22*($B$26-($B$27-0.05*$B$27)-$B$60))</f>
        <v>700.44334938259783</v>
      </c>
      <c r="C33" s="34" t="s">
        <v>104</v>
      </c>
      <c r="D33" s="171"/>
    </row>
    <row r="34" spans="1:6">
      <c r="A34" s="168" t="s">
        <v>74</v>
      </c>
      <c r="B34" s="33">
        <f>IF((B24*($B$26-($B$27-0.05*$B$27)-$B$60))&lt;0,0,B24*($B$26-($B$27-0.05*$B$27)-$B$60))</f>
        <v>139.67580637572058</v>
      </c>
      <c r="C34" s="33">
        <f>B26*C24</f>
        <v>1286.5731518811551</v>
      </c>
      <c r="D34" s="230"/>
    </row>
    <row r="35" spans="1:6">
      <c r="A35" s="168" t="s">
        <v>76</v>
      </c>
      <c r="B35" s="33">
        <f>IF((B19*($B$26-($B$27-0.05*$B$27)-$B$60))&lt;0,0,B19*($B$26-($B$27-0.05*$B$27)-$B$60))</f>
        <v>72.737708368119286</v>
      </c>
      <c r="C35" s="33">
        <f>B35/2</f>
        <v>36.368854184059643</v>
      </c>
      <c r="D35" s="230"/>
    </row>
    <row r="36" spans="1:6">
      <c r="A36" s="168" t="s">
        <v>77</v>
      </c>
      <c r="B36" s="33">
        <f>IF((B18*($B$26-($B$27-0.05*$B$27)-$B$60))&lt;0,0,B18*($B$26-($B$27-0.05*$B$27)-$B$60))</f>
        <v>2510.0032658618743</v>
      </c>
      <c r="C36" s="34" t="s">
        <v>104</v>
      </c>
      <c r="D36" s="171"/>
    </row>
    <row r="37" spans="1:6">
      <c r="A37" s="168" t="s">
        <v>78</v>
      </c>
      <c r="B37" s="33">
        <f>B60</f>
        <v>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11317.375999999998</v>
      </c>
      <c r="C5" s="17">
        <f>IF(ISERROR('Eigen informatie GS &amp; warmtenet'!B58),0,'Eigen informatie GS &amp; warmtenet'!B58)</f>
        <v>0</v>
      </c>
      <c r="D5" s="30">
        <f>SUM(D6:D12)</f>
        <v>38842.213541999998</v>
      </c>
      <c r="E5" s="17">
        <f>SUM(E6:E12)</f>
        <v>207.2856868793566</v>
      </c>
      <c r="F5" s="17">
        <f>SUM(F6:F12)</f>
        <v>2205.4614661216369</v>
      </c>
      <c r="G5" s="18"/>
      <c r="H5" s="17"/>
      <c r="I5" s="17"/>
      <c r="J5" s="17">
        <f>SUM(J6:J12)</f>
        <v>0</v>
      </c>
      <c r="K5" s="17"/>
      <c r="L5" s="17"/>
      <c r="M5" s="17"/>
      <c r="N5" s="17">
        <f>SUM(N6:N12)</f>
        <v>256.95429407790624</v>
      </c>
      <c r="O5" s="17">
        <f>B38*B39*B40</f>
        <v>0</v>
      </c>
      <c r="P5" s="17">
        <f>B46*B47*B48/1000-B46*B47*B48/1000/B49</f>
        <v>38.133333333333333</v>
      </c>
      <c r="R5" s="32"/>
    </row>
    <row r="6" spans="1:18">
      <c r="A6" s="32" t="s">
        <v>53</v>
      </c>
      <c r="B6" s="37">
        <f>B26</f>
        <v>2931.4259999999999</v>
      </c>
      <c r="C6" s="33"/>
      <c r="D6" s="37">
        <f>IF(ISERROR(TER_kantoor_gas_kWh/1000),0,TER_kantoor_gas_kWh/1000)*0.902</f>
        <v>32550.705813999997</v>
      </c>
      <c r="E6" s="33">
        <f>$C$26*'E Balans VL '!I12/100/3.6*1000000</f>
        <v>101.40392028722279</v>
      </c>
      <c r="F6" s="33">
        <f>$C$26*('E Balans VL '!L12+'E Balans VL '!N12)/100/3.6*1000000</f>
        <v>447.51330612851888</v>
      </c>
      <c r="G6" s="34"/>
      <c r="H6" s="33"/>
      <c r="I6" s="33"/>
      <c r="J6" s="33">
        <f>$C$26*('E Balans VL '!D12+'E Balans VL '!E12)/100/3.6*1000000</f>
        <v>0</v>
      </c>
      <c r="K6" s="33"/>
      <c r="L6" s="33"/>
      <c r="M6" s="33"/>
      <c r="N6" s="33">
        <f>$C$26*'E Balans VL '!Y12/100/3.6*1000000</f>
        <v>45.189325293018889</v>
      </c>
      <c r="O6" s="33"/>
      <c r="P6" s="33"/>
      <c r="R6" s="32"/>
    </row>
    <row r="7" spans="1:18">
      <c r="A7" s="32" t="s">
        <v>52</v>
      </c>
      <c r="B7" s="37">
        <f t="shared" ref="B7:B12" si="0">B27</f>
        <v>1348.1780000000001</v>
      </c>
      <c r="C7" s="33"/>
      <c r="D7" s="37">
        <f>IF(ISERROR(TER_horeca_gas_kWh/1000),0,TER_horeca_gas_kWh/1000)*0.902</f>
        <v>1339.4438420000001</v>
      </c>
      <c r="E7" s="33">
        <f>$C$27*'E Balans VL '!I9/100/3.6*1000000</f>
        <v>73.884438414997405</v>
      </c>
      <c r="F7" s="33">
        <f>$C$27*('E Balans VL '!L9+'E Balans VL '!N9)/100/3.6*1000000</f>
        <v>228.15681395109058</v>
      </c>
      <c r="G7" s="34"/>
      <c r="H7" s="33"/>
      <c r="I7" s="33"/>
      <c r="J7" s="33">
        <f>$C$27*('E Balans VL '!D9+'E Balans VL '!E9)/100/3.6*1000000</f>
        <v>0</v>
      </c>
      <c r="K7" s="33"/>
      <c r="L7" s="33"/>
      <c r="M7" s="33"/>
      <c r="N7" s="33">
        <f>$C$27*'E Balans VL '!Y9/100/3.6*1000000</f>
        <v>0</v>
      </c>
      <c r="O7" s="33"/>
      <c r="P7" s="33"/>
      <c r="R7" s="32"/>
    </row>
    <row r="8" spans="1:18">
      <c r="A8" s="6" t="s">
        <v>51</v>
      </c>
      <c r="B8" s="37">
        <f t="shared" si="0"/>
        <v>5029.6610000000001</v>
      </c>
      <c r="C8" s="33"/>
      <c r="D8" s="37">
        <f>IF(ISERROR(TER_handel_gas_kWh/1000),0,TER_handel_gas_kWh/1000)*0.902</f>
        <v>2054.9688719999999</v>
      </c>
      <c r="E8" s="33">
        <f>$C$28*'E Balans VL '!I13/100/3.6*1000000</f>
        <v>25.445913810820464</v>
      </c>
      <c r="F8" s="33">
        <f>$C$28*('E Balans VL '!L13+'E Balans VL '!N13)/100/3.6*1000000</f>
        <v>764.2176508576141</v>
      </c>
      <c r="G8" s="34"/>
      <c r="H8" s="33"/>
      <c r="I8" s="33"/>
      <c r="J8" s="33">
        <f>$C$28*('E Balans VL '!D13+'E Balans VL '!E13)/100/3.6*1000000</f>
        <v>0</v>
      </c>
      <c r="K8" s="33"/>
      <c r="L8" s="33"/>
      <c r="M8" s="33"/>
      <c r="N8" s="33">
        <f>$C$28*'E Balans VL '!Y13/100/3.6*1000000</f>
        <v>2.3520041240148393</v>
      </c>
      <c r="O8" s="33"/>
      <c r="P8" s="33"/>
      <c r="R8" s="32"/>
    </row>
    <row r="9" spans="1:18">
      <c r="A9" s="32" t="s">
        <v>50</v>
      </c>
      <c r="B9" s="37">
        <f t="shared" si="0"/>
        <v>740.96400000000006</v>
      </c>
      <c r="C9" s="33"/>
      <c r="D9" s="37">
        <f>IF(ISERROR(TER_gezond_gas_kWh/1000),0,TER_gezond_gas_kWh/1000)*0.902</f>
        <v>1824.020792</v>
      </c>
      <c r="E9" s="33">
        <f>$C$29*'E Balans VL '!I10/100/3.6*1000000</f>
        <v>0.26944834226290121</v>
      </c>
      <c r="F9" s="33">
        <f>$C$29*('E Balans VL '!L10+'E Balans VL '!N10)/100/3.6*1000000</f>
        <v>160.10229795498933</v>
      </c>
      <c r="G9" s="34"/>
      <c r="H9" s="33"/>
      <c r="I9" s="33"/>
      <c r="J9" s="33">
        <f>$C$29*('E Balans VL '!D10+'E Balans VL '!E10)/100/3.6*1000000</f>
        <v>0</v>
      </c>
      <c r="K9" s="33"/>
      <c r="L9" s="33"/>
      <c r="M9" s="33"/>
      <c r="N9" s="33">
        <f>$C$29*'E Balans VL '!Y10/100/3.6*1000000</f>
        <v>5.6181920551053866</v>
      </c>
      <c r="O9" s="33"/>
      <c r="P9" s="33"/>
      <c r="R9" s="32"/>
    </row>
    <row r="10" spans="1:18">
      <c r="A10" s="32" t="s">
        <v>49</v>
      </c>
      <c r="B10" s="37">
        <f t="shared" si="0"/>
        <v>971.68399999999997</v>
      </c>
      <c r="C10" s="33"/>
      <c r="D10" s="37">
        <f>IF(ISERROR(TER_ander_gas_kWh/1000),0,TER_ander_gas_kWh/1000)*0.902</f>
        <v>1061.1118979999999</v>
      </c>
      <c r="E10" s="33">
        <f>$C$30*'E Balans VL '!I14/100/3.6*1000000</f>
        <v>5.9152708598753794</v>
      </c>
      <c r="F10" s="33">
        <f>$C$30*('E Balans VL '!L14+'E Balans VL '!N14)/100/3.6*1000000</f>
        <v>257.2527822750215</v>
      </c>
      <c r="G10" s="34"/>
      <c r="H10" s="33"/>
      <c r="I10" s="33"/>
      <c r="J10" s="33">
        <f>$C$30*('E Balans VL '!D14+'E Balans VL '!E14)/100/3.6*1000000</f>
        <v>0</v>
      </c>
      <c r="K10" s="33"/>
      <c r="L10" s="33"/>
      <c r="M10" s="33"/>
      <c r="N10" s="33">
        <f>$C$30*'E Balans VL '!Y14/100/3.6*1000000</f>
        <v>202.376577801049</v>
      </c>
      <c r="O10" s="33"/>
      <c r="P10" s="33"/>
      <c r="R10" s="32"/>
    </row>
    <row r="11" spans="1:18">
      <c r="A11" s="32" t="s">
        <v>54</v>
      </c>
      <c r="B11" s="37">
        <f t="shared" si="0"/>
        <v>295.46300000000002</v>
      </c>
      <c r="C11" s="33"/>
      <c r="D11" s="37">
        <f>IF(ISERROR(TER_onderwijs_gas_kWh/1000),0,TER_onderwijs_gas_kWh/1000)*0.902</f>
        <v>0</v>
      </c>
      <c r="E11" s="33">
        <f>$C$31*'E Balans VL '!I11/100/3.6*1000000</f>
        <v>0.36669516417765396</v>
      </c>
      <c r="F11" s="33">
        <f>$C$31*('E Balans VL '!L11+'E Balans VL '!N11)/100/3.6*1000000</f>
        <v>348.21861495440231</v>
      </c>
      <c r="G11" s="34"/>
      <c r="H11" s="33"/>
      <c r="I11" s="33"/>
      <c r="J11" s="33">
        <f>$C$31*('E Balans VL '!D11+'E Balans VL '!E11)/100/3.6*1000000</f>
        <v>0</v>
      </c>
      <c r="K11" s="33"/>
      <c r="L11" s="33"/>
      <c r="M11" s="33"/>
      <c r="N11" s="33">
        <f>$C$31*'E Balans VL '!Y11/100/3.6*1000000</f>
        <v>1.4181948047181372</v>
      </c>
      <c r="O11" s="33"/>
      <c r="P11" s="33"/>
      <c r="R11" s="32"/>
    </row>
    <row r="12" spans="1:18">
      <c r="A12" s="32" t="s">
        <v>249</v>
      </c>
      <c r="B12" s="37">
        <f t="shared" si="0"/>
        <v>0</v>
      </c>
      <c r="C12" s="33"/>
      <c r="D12" s="37">
        <f>IF(ISERROR(TER_rest_gas_kWh/1000),0,TER_rest_gas_kWh/1000)*0.902</f>
        <v>11.962324000000001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1323</v>
      </c>
      <c r="C13" s="243">
        <f ca="1">'lokale energieproductie'!O38+'lokale energieproductie'!O31</f>
        <v>1890</v>
      </c>
      <c r="D13" s="302">
        <f ca="1">('lokale energieproductie'!P31+'lokale energieproductie'!P38)*(-1)</f>
        <v>-3780.0000000000005</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12640.375999999998</v>
      </c>
      <c r="C16" s="21">
        <f ca="1">C5+C13+C14</f>
        <v>1890</v>
      </c>
      <c r="D16" s="21">
        <f t="shared" ref="D16:N16" ca="1" si="1">MAX((D5+D13+D14),0)</f>
        <v>35062.213541999998</v>
      </c>
      <c r="E16" s="21">
        <f t="shared" si="1"/>
        <v>207.2856868793566</v>
      </c>
      <c r="F16" s="21">
        <f t="shared" ca="1" si="1"/>
        <v>2205.4614661216369</v>
      </c>
      <c r="G16" s="21">
        <f t="shared" si="1"/>
        <v>0</v>
      </c>
      <c r="H16" s="21">
        <f t="shared" si="1"/>
        <v>0</v>
      </c>
      <c r="I16" s="21">
        <f t="shared" si="1"/>
        <v>0</v>
      </c>
      <c r="J16" s="21">
        <f t="shared" si="1"/>
        <v>0</v>
      </c>
      <c r="K16" s="21">
        <f t="shared" si="1"/>
        <v>0</v>
      </c>
      <c r="L16" s="21">
        <f t="shared" ca="1" si="1"/>
        <v>0</v>
      </c>
      <c r="M16" s="21">
        <f t="shared" si="1"/>
        <v>0</v>
      </c>
      <c r="N16" s="21">
        <f t="shared" ca="1" si="1"/>
        <v>256.95429407790624</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0.21555534555476885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2724.7006166222063</v>
      </c>
      <c r="C20" s="23">
        <f t="shared" ref="C20:P20" ca="1" si="2">C16*C18</f>
        <v>449.15294117647068</v>
      </c>
      <c r="D20" s="23">
        <f t="shared" ca="1" si="2"/>
        <v>7082.5671354839997</v>
      </c>
      <c r="E20" s="23">
        <f t="shared" si="2"/>
        <v>47.05385092161395</v>
      </c>
      <c r="F20" s="23">
        <f t="shared" ca="1" si="2"/>
        <v>588.8582114544771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2931.4259999999999</v>
      </c>
      <c r="C26" s="39">
        <f>IF(ISERROR(B26*3.6/1000000/'E Balans VL '!Z12*100),0,B26*3.6/1000000/'E Balans VL '!Z12*100)</f>
        <v>6.096107232251198E-2</v>
      </c>
      <c r="D26" s="233" t="s">
        <v>676</v>
      </c>
      <c r="F26" s="6"/>
    </row>
    <row r="27" spans="1:18">
      <c r="A27" s="228" t="s">
        <v>52</v>
      </c>
      <c r="B27" s="33">
        <f>IF(ISERROR(TER_horeca_ele_kWh/1000),0,TER_horeca_ele_kWh/1000)</f>
        <v>1348.1780000000001</v>
      </c>
      <c r="C27" s="39">
        <f>IF(ISERROR(B27*3.6/1000000/'E Balans VL '!Z9*100),0,B27*3.6/1000000/'E Balans VL '!Z9*100)</f>
        <v>0.11088859723438013</v>
      </c>
      <c r="D27" s="233" t="s">
        <v>676</v>
      </c>
      <c r="F27" s="6"/>
    </row>
    <row r="28" spans="1:18">
      <c r="A28" s="168" t="s">
        <v>51</v>
      </c>
      <c r="B28" s="33">
        <f>IF(ISERROR(TER_handel_ele_kWh/1000),0,TER_handel_ele_kWh/1000)</f>
        <v>5029.6610000000001</v>
      </c>
      <c r="C28" s="39">
        <f>IF(ISERROR(B28*3.6/1000000/'E Balans VL '!Z13*100),0,B28*3.6/1000000/'E Balans VL '!Z13*100)</f>
        <v>0.13922003320763929</v>
      </c>
      <c r="D28" s="233" t="s">
        <v>676</v>
      </c>
      <c r="F28" s="6"/>
    </row>
    <row r="29" spans="1:18">
      <c r="A29" s="228" t="s">
        <v>50</v>
      </c>
      <c r="B29" s="33">
        <f>IF(ISERROR(TER_gezond_ele_kWh/1000),0,TER_gezond_ele_kWh/1000)</f>
        <v>740.96400000000006</v>
      </c>
      <c r="C29" s="39">
        <f>IF(ISERROR(B29*3.6/1000000/'E Balans VL '!Z10*100),0,B29*3.6/1000000/'E Balans VL '!Z10*100)</f>
        <v>8.4501566006304221E-2</v>
      </c>
      <c r="D29" s="233" t="s">
        <v>676</v>
      </c>
      <c r="F29" s="6"/>
    </row>
    <row r="30" spans="1:18">
      <c r="A30" s="228" t="s">
        <v>49</v>
      </c>
      <c r="B30" s="33">
        <f>IF(ISERROR(TER_ander_ele_kWh/1000),0,TER_ander_ele_kWh/1000)</f>
        <v>971.68399999999997</v>
      </c>
      <c r="C30" s="39">
        <f>IF(ISERROR(B30*3.6/1000000/'E Balans VL '!Z14*100),0,B30*3.6/1000000/'E Balans VL '!Z14*100)</f>
        <v>7.5210977317746786E-2</v>
      </c>
      <c r="D30" s="233" t="s">
        <v>676</v>
      </c>
      <c r="F30" s="6"/>
    </row>
    <row r="31" spans="1:18">
      <c r="A31" s="228" t="s">
        <v>54</v>
      </c>
      <c r="B31" s="33">
        <f>IF(ISERROR(TER_onderwijs_ele_kWh/1000),0,TER_onderwijs_ele_kWh/1000)</f>
        <v>295.46300000000002</v>
      </c>
      <c r="C31" s="39">
        <f>IF(ISERROR(B31*3.6/1000000/'E Balans VL '!Z11*100),0,B31*3.6/1000000/'E Balans VL '!Z11*100)</f>
        <v>9.2060681903157235E-2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1994.6569999999999</v>
      </c>
      <c r="C5" s="17">
        <f>IF(ISERROR('Eigen informatie GS &amp; warmtenet'!B59),0,'Eigen informatie GS &amp; warmtenet'!B59)</f>
        <v>0</v>
      </c>
      <c r="D5" s="30">
        <f>SUM(D6:D15)</f>
        <v>1151.8837659999999</v>
      </c>
      <c r="E5" s="17">
        <f>SUM(E6:E15)</f>
        <v>32.471753245847061</v>
      </c>
      <c r="F5" s="17">
        <f>SUM(F6:F15)</f>
        <v>740.69614530826004</v>
      </c>
      <c r="G5" s="18"/>
      <c r="H5" s="17"/>
      <c r="I5" s="17"/>
      <c r="J5" s="17">
        <f>SUM(J6:J15)</f>
        <v>7.1488103953273932</v>
      </c>
      <c r="K5" s="17"/>
      <c r="L5" s="17"/>
      <c r="M5" s="17"/>
      <c r="N5" s="17">
        <f>SUM(N6:N15)</f>
        <v>63.765559240713912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52.116</v>
      </c>
      <c r="C8" s="33"/>
      <c r="D8" s="37">
        <f>IF( ISERROR(IND_metaal_Gas_kWH/1000),0,IND_metaal_Gas_kWH/1000)*0.902</f>
        <v>165.50527399999999</v>
      </c>
      <c r="E8" s="33">
        <f>C30*'E Balans VL '!I18/100/3.6*1000000</f>
        <v>0.36620763312619198</v>
      </c>
      <c r="F8" s="33">
        <f>C30*'E Balans VL '!L18/100/3.6*1000000+C30*'E Balans VL '!N18/100/3.6*1000000</f>
        <v>5.7220318913882906</v>
      </c>
      <c r="G8" s="34"/>
      <c r="H8" s="33"/>
      <c r="I8" s="33"/>
      <c r="J8" s="40">
        <f>C30*'E Balans VL '!D18/100/3.6*1000000+C30*'E Balans VL '!E18/100/3.6*1000000</f>
        <v>1.0752654103976109</v>
      </c>
      <c r="K8" s="33"/>
      <c r="L8" s="33"/>
      <c r="M8" s="33"/>
      <c r="N8" s="33">
        <f>C30*'E Balans VL '!Y18/100/3.6*1000000</f>
        <v>0.19533452139029409</v>
      </c>
      <c r="O8" s="33"/>
      <c r="P8" s="33"/>
      <c r="R8" s="32"/>
    </row>
    <row r="9" spans="1:18">
      <c r="A9" s="6" t="s">
        <v>32</v>
      </c>
      <c r="B9" s="37">
        <f t="shared" si="0"/>
        <v>726.51599999999996</v>
      </c>
      <c r="C9" s="33"/>
      <c r="D9" s="37">
        <f>IF( ISERROR(IND_andere_gas_kWh/1000),0,IND_andere_gas_kWh/1000)*0.902</f>
        <v>504.15846799999997</v>
      </c>
      <c r="E9" s="33">
        <f>C31*'E Balans VL '!I19/100/3.6*1000000</f>
        <v>12.202726230516452</v>
      </c>
      <c r="F9" s="33">
        <f>C31*'E Balans VL '!L19/100/3.6*1000000+C31*'E Balans VL '!N19/100/3.6*1000000</f>
        <v>567.94882953832916</v>
      </c>
      <c r="G9" s="34"/>
      <c r="H9" s="33"/>
      <c r="I9" s="33"/>
      <c r="J9" s="40">
        <f>C31*'E Balans VL '!D19/100/3.6*1000000+C31*'E Balans VL '!E19/100/3.6*1000000</f>
        <v>6.5525329963622023E-2</v>
      </c>
      <c r="K9" s="33"/>
      <c r="L9" s="33"/>
      <c r="M9" s="33"/>
      <c r="N9" s="33">
        <f>C31*'E Balans VL '!Y19/100/3.6*1000000</f>
        <v>53.846491523064373</v>
      </c>
      <c r="O9" s="33"/>
      <c r="P9" s="33"/>
      <c r="R9" s="32"/>
    </row>
    <row r="10" spans="1:18">
      <c r="A10" s="6" t="s">
        <v>40</v>
      </c>
      <c r="B10" s="37">
        <f t="shared" si="0"/>
        <v>607.40800000000002</v>
      </c>
      <c r="C10" s="33"/>
      <c r="D10" s="37">
        <f>IF( ISERROR(IND_voed_gas_kWh/1000),0,IND_voed_gas_kWh/1000)*0.902</f>
        <v>370.58219000000003</v>
      </c>
      <c r="E10" s="33">
        <f>C32*'E Balans VL '!I20/100/3.6*1000000</f>
        <v>5.5417381836177348</v>
      </c>
      <c r="F10" s="33">
        <f>C32*'E Balans VL '!L20/100/3.6*1000000+C32*'E Balans VL '!N20/100/3.6*1000000</f>
        <v>97.993909010402604</v>
      </c>
      <c r="G10" s="34"/>
      <c r="H10" s="33"/>
      <c r="I10" s="33"/>
      <c r="J10" s="40">
        <f>C32*'E Balans VL '!D20/100/3.6*1000000+C32*'E Balans VL '!E20/100/3.6*1000000</f>
        <v>2.5017043799614433</v>
      </c>
      <c r="K10" s="33"/>
      <c r="L10" s="33"/>
      <c r="M10" s="33"/>
      <c r="N10" s="33">
        <f>C32*'E Balans VL '!Y20/100/3.6*1000000</f>
        <v>8.8859000853496273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562.05999999999995</v>
      </c>
      <c r="C12" s="33"/>
      <c r="D12" s="37">
        <f>IF( ISERROR(IND_min_gas_kWh/1000),0,IND_min_gas_kWh/1000)*0.902</f>
        <v>0</v>
      </c>
      <c r="E12" s="33">
        <f>C34*'E Balans VL '!I22/100/3.6*1000000</f>
        <v>13.940915284216477</v>
      </c>
      <c r="F12" s="33">
        <f>C34*'E Balans VL '!L22/100/3.6*1000000+C34*'E Balans VL '!N22/100/3.6*1000000</f>
        <v>59.724256722398088</v>
      </c>
      <c r="G12" s="34"/>
      <c r="H12" s="33"/>
      <c r="I12" s="33"/>
      <c r="J12" s="40">
        <f>C34*'E Balans VL '!D22/100/3.6*1000000+C34*'E Balans VL '!E22/100/3.6*1000000</f>
        <v>3.1928305955633385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46.557000000000002</v>
      </c>
      <c r="C15" s="33"/>
      <c r="D15" s="37">
        <f>IF( ISERROR(IND_rest_gas_kWh/1000),0,IND_rest_gas_kWh/1000)*0.902</f>
        <v>111.637834</v>
      </c>
      <c r="E15" s="33">
        <f>C37*'E Balans VL '!I15/100/3.6*1000000</f>
        <v>0.42016591437021056</v>
      </c>
      <c r="F15" s="33">
        <f>C37*'E Balans VL '!L15/100/3.6*1000000+C37*'E Balans VL '!N15/100/3.6*1000000</f>
        <v>9.3071181457419172</v>
      </c>
      <c r="G15" s="34"/>
      <c r="H15" s="33"/>
      <c r="I15" s="33"/>
      <c r="J15" s="40">
        <f>C37*'E Balans VL '!D15/100/3.6*1000000+C37*'E Balans VL '!E15/100/3.6*1000000</f>
        <v>0.31348467944137903</v>
      </c>
      <c r="K15" s="33"/>
      <c r="L15" s="33"/>
      <c r="M15" s="33"/>
      <c r="N15" s="33">
        <f>C37*'E Balans VL '!Y15/100/3.6*1000000</f>
        <v>0.83783311090962342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1994.6569999999999</v>
      </c>
      <c r="C18" s="21">
        <f>C5+C16</f>
        <v>0</v>
      </c>
      <c r="D18" s="21">
        <f>MAX((D5+D16),0)</f>
        <v>1151.8837659999999</v>
      </c>
      <c r="E18" s="21">
        <f>MAX((E5+E16),0)</f>
        <v>32.471753245847061</v>
      </c>
      <c r="F18" s="21">
        <f>MAX((F5+F16),0)</f>
        <v>740.69614530826004</v>
      </c>
      <c r="G18" s="21"/>
      <c r="H18" s="21"/>
      <c r="I18" s="21"/>
      <c r="J18" s="21">
        <f>MAX((J5+J16),0)</f>
        <v>7.1488103953273932</v>
      </c>
      <c r="K18" s="21"/>
      <c r="L18" s="21">
        <f>MAX((L5+L16),0)</f>
        <v>0</v>
      </c>
      <c r="M18" s="21"/>
      <c r="N18" s="21">
        <f>MAX((N5+N16),0)</f>
        <v>63.765559240713912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0.21555534555476885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429.95897889823857</v>
      </c>
      <c r="C22" s="23">
        <f ca="1">C18*C20</f>
        <v>0</v>
      </c>
      <c r="D22" s="23">
        <f>D18*D20</f>
        <v>232.68052073199999</v>
      </c>
      <c r="E22" s="23">
        <f>E18*E20</f>
        <v>7.3710879868072832</v>
      </c>
      <c r="F22" s="23">
        <f>F18*F20</f>
        <v>197.76587079730544</v>
      </c>
      <c r="G22" s="23"/>
      <c r="H22" s="23"/>
      <c r="I22" s="23"/>
      <c r="J22" s="23">
        <f>J18*J20</f>
        <v>2.530678879945897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52.116</v>
      </c>
      <c r="C30" s="39">
        <f>IF(ISERROR(B30*3.6/1000000/'E Balans VL '!Z18*100),0,B30*3.6/1000000/'E Balans VL '!Z18*100)</f>
        <v>3.4693939446964537E-3</v>
      </c>
      <c r="D30" s="233" t="s">
        <v>676</v>
      </c>
    </row>
    <row r="31" spans="1:18">
      <c r="A31" s="6" t="s">
        <v>32</v>
      </c>
      <c r="B31" s="37">
        <f>IF( ISERROR(IND_ander_ele_kWh/1000),0,IND_ander_ele_kWh/1000)</f>
        <v>726.51599999999996</v>
      </c>
      <c r="C31" s="39">
        <f>IF(ISERROR(B31*3.6/1000000/'E Balans VL '!Z19*100),0,B31*3.6/1000000/'E Balans VL '!Z19*100)</f>
        <v>3.2203575135705022E-2</v>
      </c>
      <c r="D31" s="233" t="s">
        <v>676</v>
      </c>
    </row>
    <row r="32" spans="1:18">
      <c r="A32" s="168" t="s">
        <v>40</v>
      </c>
      <c r="B32" s="37">
        <f>IF( ISERROR(IND_voed_ele_kWh/1000),0,IND_voed_ele_kWh/1000)</f>
        <v>607.40800000000002</v>
      </c>
      <c r="C32" s="39">
        <f>IF(ISERROR(B32*3.6/1000000/'E Balans VL '!Z20*100),0,B32*3.6/1000000/'E Balans VL '!Z20*100)</f>
        <v>2.0289169628037739E-2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562.05999999999995</v>
      </c>
      <c r="C34" s="39">
        <f>IF(ISERROR(B34*3.6/1000000/'E Balans VL '!Z22*100),0,B34*3.6/1000000/'E Balans VL '!Z22*100)</f>
        <v>0.10931449612184446</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46.557000000000002</v>
      </c>
      <c r="C37" s="39">
        <f>IF(ISERROR(B37*3.6/1000000/'E Balans VL '!Z15*100),0,B37*3.6/1000000/'E Balans VL '!Z15*100)</f>
        <v>3.4630823215903302E-4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139.30500000000001</v>
      </c>
      <c r="C5" s="17">
        <f>'Eigen informatie GS &amp; warmtenet'!B60</f>
        <v>0</v>
      </c>
      <c r="D5" s="30">
        <f>IF(ISERROR(SUM(LB_lb_gas_kWh,LB_rest_gas_kWh)/1000),0,SUM(LB_lb_gas_kWh,LB_rest_gas_kWh)/1000)*0.902</f>
        <v>0</v>
      </c>
      <c r="E5" s="17">
        <f>B17*'E Balans VL '!I25/3.6*1000000/100</f>
        <v>1.2553148124655125</v>
      </c>
      <c r="F5" s="17">
        <f>B17*('E Balans VL '!L25/3.6*1000000+'E Balans VL '!N25/3.6*1000000)/100</f>
        <v>521.98008366181091</v>
      </c>
      <c r="G5" s="18"/>
      <c r="H5" s="17"/>
      <c r="I5" s="17"/>
      <c r="J5" s="17">
        <f>('E Balans VL '!D25+'E Balans VL '!E25)/3.6*1000000*landbouw!B17/100</f>
        <v>14.097089850607972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139.30500000000001</v>
      </c>
      <c r="C8" s="21">
        <f>C5+C6</f>
        <v>0</v>
      </c>
      <c r="D8" s="21">
        <f>MAX((D5+D6),0)</f>
        <v>0</v>
      </c>
      <c r="E8" s="21">
        <f>MAX((E5+E6),0)</f>
        <v>1.2553148124655125</v>
      </c>
      <c r="F8" s="21">
        <f>MAX((F5+F6),0)</f>
        <v>521.98008366181091</v>
      </c>
      <c r="G8" s="21"/>
      <c r="H8" s="21"/>
      <c r="I8" s="21"/>
      <c r="J8" s="21">
        <f>MAX((J5+J6),0)</f>
        <v>14.097089850607972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0.21555534555476885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30.027937412507075</v>
      </c>
      <c r="C12" s="23">
        <f ca="1">C8*C10</f>
        <v>0</v>
      </c>
      <c r="D12" s="23">
        <f>D8*D10</f>
        <v>0</v>
      </c>
      <c r="E12" s="23">
        <f>E8*E10</f>
        <v>0.28495646242967132</v>
      </c>
      <c r="F12" s="23">
        <f>F8*F10</f>
        <v>139.36868233770352</v>
      </c>
      <c r="G12" s="23"/>
      <c r="H12" s="23"/>
      <c r="I12" s="23"/>
      <c r="J12" s="23">
        <f>J8*J10</f>
        <v>4.990369807115222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2.1441728583438416E-2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11.529824972066027</v>
      </c>
      <c r="C26" s="243">
        <f>B26*'GWP N2O_CH4'!B5</f>
        <v>242.12632441338658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3.0269112079138263</v>
      </c>
      <c r="C27" s="243">
        <f>B27*'GWP N2O_CH4'!B5</f>
        <v>63.565135366190354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0.289506680277552</v>
      </c>
      <c r="C28" s="243">
        <f>B28*'GWP N2O_CH4'!B4</f>
        <v>89.747070886041115</v>
      </c>
      <c r="D28" s="50"/>
    </row>
    <row r="29" spans="1:4">
      <c r="A29" s="41" t="s">
        <v>266</v>
      </c>
      <c r="B29" s="243">
        <f>B34*'ha_N2O bodem landbouw'!B4</f>
        <v>2.2793090617264489</v>
      </c>
      <c r="C29" s="243">
        <f>B29*'GWP N2O_CH4'!B4</f>
        <v>706.58580913519916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5.9177932281413367E-4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3.1746313600585705E-6</v>
      </c>
      <c r="C5" s="431" t="s">
        <v>204</v>
      </c>
      <c r="D5" s="416">
        <f>SUM(D6:D11)</f>
        <v>1.16190995314173E-5</v>
      </c>
      <c r="E5" s="416">
        <f>SUM(E6:E11)</f>
        <v>1.1791374949085298E-3</v>
      </c>
      <c r="F5" s="429" t="s">
        <v>204</v>
      </c>
      <c r="G5" s="416">
        <f>SUM(G6:G11)</f>
        <v>0.19177129176229213</v>
      </c>
      <c r="H5" s="416">
        <f>SUM(H6:H11)</f>
        <v>3.9583223529856854E-2</v>
      </c>
      <c r="I5" s="431" t="s">
        <v>204</v>
      </c>
      <c r="J5" s="431" t="s">
        <v>204</v>
      </c>
      <c r="K5" s="431" t="s">
        <v>204</v>
      </c>
      <c r="L5" s="431" t="s">
        <v>204</v>
      </c>
      <c r="M5" s="416">
        <f>SUM(M6:M11)</f>
        <v>1.008317002660449E-2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2.2493324984537807E-6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7.0999659931869711E-6</v>
      </c>
      <c r="E6" s="419">
        <f>vkm_GW_PW*SUMIFS(TableVerdeelsleutelVkm[LPG],TableVerdeelsleutelVkm[Voertuigtype],"Lichte voertuigen")*SUMIFS(TableECFTransport[EnergieConsumptieFactor (PJ per km)],TableECFTransport[Index],CONCATENATE($A6,"_LPG_LPG"))</f>
        <v>7.3739155168306349E-4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9.8428862368460282E-2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2.4721088590503478E-2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5.3780243544986764E-3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7.7390166350809323E-8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3.488559310173453E-2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1.0264860231837007E-6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1.5028896297546658E-3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8.4412263124872438E-7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4.5191335382303277E-6</v>
      </c>
      <c r="E8" s="419">
        <f>vkm_NGW_PW*SUMIFS(TableVerdeelsleutelVkm[LPG],TableVerdeelsleutelVkm[Voertuigtype],"Lichte voertuigen")*SUMIFS(TableECFTransport[EnergieConsumptieFactor (PJ per km)],TableECFTransport[Index],CONCATENATE($A8,"_LPG_LPG"))</f>
        <v>4.4174594322546622E-4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5.6092837236524112E-2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1.4861047839509764E-2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3.1004141360868151E-3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3.7860640052562163E-9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2.3639990555731774E-3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6.0613820428631545E-8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1.0184190626433311E-4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0.88184204446071401</v>
      </c>
      <c r="C14" s="21"/>
      <c r="D14" s="21">
        <f t="shared" ref="D14:M14" si="0">((D5)*10^9/3600)+D12</f>
        <v>3.2275276476159167</v>
      </c>
      <c r="E14" s="21">
        <f t="shared" si="0"/>
        <v>327.53819303014717</v>
      </c>
      <c r="F14" s="21"/>
      <c r="G14" s="21">
        <f t="shared" si="0"/>
        <v>53269.803267303367</v>
      </c>
      <c r="H14" s="21">
        <f t="shared" si="0"/>
        <v>10995.339869404681</v>
      </c>
      <c r="I14" s="21"/>
      <c r="J14" s="21"/>
      <c r="K14" s="21"/>
      <c r="L14" s="21"/>
      <c r="M14" s="21">
        <f t="shared" si="0"/>
        <v>2800.880562945692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0.21555534555476885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0.19008576661845306</v>
      </c>
      <c r="C18" s="23"/>
      <c r="D18" s="23">
        <f t="shared" ref="D18:M18" si="1">D14*D16</f>
        <v>0.65196058481841523</v>
      </c>
      <c r="E18" s="23">
        <f t="shared" si="1"/>
        <v>74.351169817843413</v>
      </c>
      <c r="F18" s="23"/>
      <c r="G18" s="23">
        <f t="shared" si="1"/>
        <v>14223.037472370001</v>
      </c>
      <c r="H18" s="23">
        <f t="shared" si="1"/>
        <v>2737.8396274817655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2.2675333085301977E-5</v>
      </c>
      <c r="C50" s="313">
        <f t="shared" ref="C50:P50" si="2">SUM(C51:C52)</f>
        <v>0</v>
      </c>
      <c r="D50" s="313">
        <f t="shared" si="2"/>
        <v>0</v>
      </c>
      <c r="E50" s="313">
        <f t="shared" si="2"/>
        <v>0</v>
      </c>
      <c r="F50" s="313">
        <f t="shared" si="2"/>
        <v>0</v>
      </c>
      <c r="G50" s="313">
        <f t="shared" si="2"/>
        <v>4.9191858557239513E-3</v>
      </c>
      <c r="H50" s="313">
        <f t="shared" si="2"/>
        <v>0</v>
      </c>
      <c r="I50" s="313">
        <f t="shared" si="2"/>
        <v>0</v>
      </c>
      <c r="J50" s="313">
        <f t="shared" si="2"/>
        <v>0</v>
      </c>
      <c r="K50" s="313">
        <f t="shared" si="2"/>
        <v>0</v>
      </c>
      <c r="L50" s="313">
        <f t="shared" si="2"/>
        <v>0</v>
      </c>
      <c r="M50" s="313">
        <f t="shared" si="2"/>
        <v>2.1062064252421408E-4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2.2675333085301977E-5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4.9191858557239513E-3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2.1062064252421408E-4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6.2987036348061043</v>
      </c>
      <c r="C54" s="21">
        <f t="shared" ref="C54:P54" si="3">(C50)*10^9/3600</f>
        <v>0</v>
      </c>
      <c r="D54" s="21">
        <f t="shared" si="3"/>
        <v>0</v>
      </c>
      <c r="E54" s="21">
        <f t="shared" si="3"/>
        <v>0</v>
      </c>
      <c r="F54" s="21">
        <f t="shared" si="3"/>
        <v>0</v>
      </c>
      <c r="G54" s="21">
        <f t="shared" si="3"/>
        <v>1366.4405154788753</v>
      </c>
      <c r="H54" s="21">
        <f t="shared" si="3"/>
        <v>0</v>
      </c>
      <c r="I54" s="21">
        <f t="shared" si="3"/>
        <v>0</v>
      </c>
      <c r="J54" s="21">
        <f t="shared" si="3"/>
        <v>0</v>
      </c>
      <c r="K54" s="21">
        <f t="shared" si="3"/>
        <v>0</v>
      </c>
      <c r="L54" s="21">
        <f t="shared" si="3"/>
        <v>0</v>
      </c>
      <c r="M54" s="21">
        <f t="shared" si="3"/>
        <v>58.505734034503909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0.21555534555476885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1.3577192385477084</v>
      </c>
      <c r="C58" s="23">
        <f t="shared" ref="C58:P58" ca="1" si="4">C54*C56</f>
        <v>0</v>
      </c>
      <c r="D58" s="23">
        <f t="shared" si="4"/>
        <v>0</v>
      </c>
      <c r="E58" s="23">
        <f t="shared" si="4"/>
        <v>0</v>
      </c>
      <c r="F58" s="23">
        <f t="shared" si="4"/>
        <v>0</v>
      </c>
      <c r="G58" s="23">
        <f t="shared" si="4"/>
        <v>364.83961763285976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1408.3081425495516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1323</v>
      </c>
      <c r="C8" s="542">
        <f>B48</f>
        <v>1556.4705882352941</v>
      </c>
      <c r="D8" s="920"/>
      <c r="E8" s="920">
        <f>E48</f>
        <v>0</v>
      </c>
      <c r="F8" s="921"/>
      <c r="G8" s="543"/>
      <c r="H8" s="920">
        <f>I48</f>
        <v>0</v>
      </c>
      <c r="I8" s="920">
        <f>G48+F48</f>
        <v>0</v>
      </c>
      <c r="J8" s="920">
        <f>H48+D48+C48</f>
        <v>0</v>
      </c>
      <c r="K8" s="920"/>
      <c r="L8" s="920"/>
      <c r="M8" s="920"/>
      <c r="N8" s="544"/>
      <c r="O8" s="545">
        <f>C8*$C$12+D8*$D$12+E8*$E$12+F8*$F$12+G8*$G$12+H8*$H$12+I8*$I$12+J8*$J$12</f>
        <v>314.40705882352944</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2731.3081425495516</v>
      </c>
      <c r="C10" s="554">
        <f t="shared" ref="C10:L10" si="0">SUM(C8:C9)</f>
        <v>1556.4705882352941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314.40705882352944</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1890</v>
      </c>
      <c r="C17" s="566">
        <f>B49</f>
        <v>2223.5294117647063</v>
      </c>
      <c r="D17" s="567"/>
      <c r="E17" s="567">
        <f>E49</f>
        <v>0</v>
      </c>
      <c r="F17" s="568"/>
      <c r="G17" s="569"/>
      <c r="H17" s="566">
        <f>I49</f>
        <v>0</v>
      </c>
      <c r="I17" s="567">
        <f>G49+F49</f>
        <v>0</v>
      </c>
      <c r="J17" s="567">
        <f>H49+D49+C49</f>
        <v>0</v>
      </c>
      <c r="K17" s="567"/>
      <c r="L17" s="567"/>
      <c r="M17" s="567"/>
      <c r="N17" s="916"/>
      <c r="O17" s="570">
        <f>C17*$C$22+E17*$E$22+H17*$H$22+I17*$I$22+J17*$J$22+D17*$D$22+F17*$F$22+G17*$G$22+K17*$K$22+L17*$L$22</f>
        <v>449.15294117647068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1890</v>
      </c>
      <c r="C20" s="553">
        <f>SUM(C17:C19)</f>
        <v>2223.5294117647063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449.15294117647068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71034</v>
      </c>
      <c r="C28" s="736">
        <v>3970</v>
      </c>
      <c r="D28" s="626"/>
      <c r="E28" s="625"/>
      <c r="F28" s="625"/>
      <c r="G28" s="625" t="s">
        <v>962</v>
      </c>
      <c r="H28" s="625" t="s">
        <v>963</v>
      </c>
      <c r="I28" s="625"/>
      <c r="J28" s="735"/>
      <c r="K28" s="735"/>
      <c r="L28" s="625" t="s">
        <v>964</v>
      </c>
      <c r="M28" s="625">
        <v>294</v>
      </c>
      <c r="N28" s="625">
        <v>1323</v>
      </c>
      <c r="O28" s="625">
        <v>1890</v>
      </c>
      <c r="P28" s="625">
        <v>3780.0000000000005</v>
      </c>
      <c r="Q28" s="625">
        <v>0</v>
      </c>
      <c r="R28" s="625">
        <v>0</v>
      </c>
      <c r="S28" s="625">
        <v>0</v>
      </c>
      <c r="T28" s="625">
        <v>0</v>
      </c>
      <c r="U28" s="625">
        <v>0</v>
      </c>
      <c r="V28" s="625">
        <v>0</v>
      </c>
      <c r="W28" s="625">
        <v>0</v>
      </c>
      <c r="X28" s="625"/>
      <c r="Y28" s="625">
        <v>1300</v>
      </c>
      <c r="Z28" s="625" t="s">
        <v>53</v>
      </c>
      <c r="AA28" s="627" t="s">
        <v>149</v>
      </c>
    </row>
    <row r="29" spans="1:27" s="561" customFormat="1" hidden="1">
      <c r="A29" s="581" t="s">
        <v>269</v>
      </c>
      <c r="B29" s="582"/>
      <c r="C29" s="582"/>
      <c r="D29" s="582"/>
      <c r="E29" s="582"/>
      <c r="F29" s="582"/>
      <c r="G29" s="582"/>
      <c r="H29" s="582"/>
      <c r="I29" s="582"/>
      <c r="J29" s="582"/>
      <c r="K29" s="582"/>
      <c r="L29" s="583"/>
      <c r="M29" s="583">
        <f>SUM(M28:M28)</f>
        <v>294</v>
      </c>
      <c r="N29" s="583">
        <f>SUM(N28:N28)</f>
        <v>1323</v>
      </c>
      <c r="O29" s="583">
        <f>SUM(O28:O28)</f>
        <v>1890</v>
      </c>
      <c r="P29" s="583">
        <f>SUM(P28:P28)</f>
        <v>3780.0000000000005</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294</v>
      </c>
      <c r="N31" s="583">
        <f ca="1">SUMIF($AA$28:AE28,"tertiair",N28:N28)</f>
        <v>1323</v>
      </c>
      <c r="O31" s="583">
        <f ca="1">SUMIF($AA$28:AF28,"tertiair",O28:O28)</f>
        <v>1890</v>
      </c>
      <c r="P31" s="583">
        <f ca="1">SUMIF($AA$28:AG28,"tertiair",P28:P28)</f>
        <v>3780.0000000000005</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1556.4705882352941</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2223.5294117647063</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13456.932999999999</v>
      </c>
      <c r="D10" s="635">
        <f ca="1">tertiair!C16</f>
        <v>1890</v>
      </c>
      <c r="E10" s="635">
        <f ca="1">tertiair!D16</f>
        <v>35062.213541999998</v>
      </c>
      <c r="F10" s="635">
        <f>tertiair!E16</f>
        <v>207.2856868793566</v>
      </c>
      <c r="G10" s="635">
        <f ca="1">tertiair!F16</f>
        <v>2205.4614661216369</v>
      </c>
      <c r="H10" s="635">
        <f>tertiair!G16</f>
        <v>0</v>
      </c>
      <c r="I10" s="635">
        <f>tertiair!H16</f>
        <v>0</v>
      </c>
      <c r="J10" s="635">
        <f>tertiair!I16</f>
        <v>0</v>
      </c>
      <c r="K10" s="635">
        <f>tertiair!J16</f>
        <v>0</v>
      </c>
      <c r="L10" s="635">
        <f>tertiair!K16</f>
        <v>0</v>
      </c>
      <c r="M10" s="635">
        <f ca="1">tertiair!L16</f>
        <v>0</v>
      </c>
      <c r="N10" s="635">
        <f>tertiair!M16</f>
        <v>0</v>
      </c>
      <c r="O10" s="635">
        <f ca="1">tertiair!N16</f>
        <v>256.95429407790624</v>
      </c>
      <c r="P10" s="635">
        <f>tertiair!O16</f>
        <v>0</v>
      </c>
      <c r="Q10" s="636">
        <f>tertiair!P16</f>
        <v>38.133333333333333</v>
      </c>
      <c r="R10" s="638">
        <f ca="1">SUM(C10:Q10)</f>
        <v>53116.981322412226</v>
      </c>
      <c r="S10" s="67"/>
    </row>
    <row r="11" spans="1:19" s="441" customFormat="1">
      <c r="A11" s="749" t="s">
        <v>214</v>
      </c>
      <c r="B11" s="754"/>
      <c r="C11" s="635">
        <f>huishoudens!B8</f>
        <v>29446.209489451794</v>
      </c>
      <c r="D11" s="635">
        <f>huishoudens!C8</f>
        <v>0</v>
      </c>
      <c r="E11" s="635">
        <f>huishoudens!D8</f>
        <v>45126.461072000006</v>
      </c>
      <c r="F11" s="635">
        <f>huishoudens!E8</f>
        <v>1663.9538444231866</v>
      </c>
      <c r="G11" s="635">
        <f>huishoudens!F8</f>
        <v>56798.058854707939</v>
      </c>
      <c r="H11" s="635">
        <f>huishoudens!G8</f>
        <v>0</v>
      </c>
      <c r="I11" s="635">
        <f>huishoudens!H8</f>
        <v>0</v>
      </c>
      <c r="J11" s="635">
        <f>huishoudens!I8</f>
        <v>0</v>
      </c>
      <c r="K11" s="635">
        <f>huishoudens!J8</f>
        <v>1278.9482860173903</v>
      </c>
      <c r="L11" s="635">
        <f>huishoudens!K8</f>
        <v>0</v>
      </c>
      <c r="M11" s="635">
        <f>huishoudens!L8</f>
        <v>0</v>
      </c>
      <c r="N11" s="635">
        <f>huishoudens!M8</f>
        <v>0</v>
      </c>
      <c r="O11" s="635">
        <f>huishoudens!N8</f>
        <v>7883.6013724009817</v>
      </c>
      <c r="P11" s="635">
        <f>huishoudens!O8</f>
        <v>76.603333333333339</v>
      </c>
      <c r="Q11" s="636">
        <f>huishoudens!P8</f>
        <v>152.53333333333333</v>
      </c>
      <c r="R11" s="638">
        <f>SUM(C11:Q11)</f>
        <v>142426.36958566794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1994.6569999999999</v>
      </c>
      <c r="D13" s="635">
        <f>industrie!C18</f>
        <v>0</v>
      </c>
      <c r="E13" s="635">
        <f>industrie!D18</f>
        <v>1151.8837659999999</v>
      </c>
      <c r="F13" s="635">
        <f>industrie!E18</f>
        <v>32.471753245847061</v>
      </c>
      <c r="G13" s="635">
        <f>industrie!F18</f>
        <v>740.69614530826004</v>
      </c>
      <c r="H13" s="635">
        <f>industrie!G18</f>
        <v>0</v>
      </c>
      <c r="I13" s="635">
        <f>industrie!H18</f>
        <v>0</v>
      </c>
      <c r="J13" s="635">
        <f>industrie!I18</f>
        <v>0</v>
      </c>
      <c r="K13" s="635">
        <f>industrie!J18</f>
        <v>7.1488103953273932</v>
      </c>
      <c r="L13" s="635">
        <f>industrie!K18</f>
        <v>0</v>
      </c>
      <c r="M13" s="635">
        <f>industrie!L18</f>
        <v>0</v>
      </c>
      <c r="N13" s="635">
        <f>industrie!M18</f>
        <v>0</v>
      </c>
      <c r="O13" s="635">
        <f>industrie!N18</f>
        <v>63.765559240713912</v>
      </c>
      <c r="P13" s="635">
        <f>industrie!O18</f>
        <v>0</v>
      </c>
      <c r="Q13" s="636">
        <f>industrie!P18</f>
        <v>0</v>
      </c>
      <c r="R13" s="638">
        <f>SUM(C13:Q13)</f>
        <v>3990.6230341901487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44897.799489451791</v>
      </c>
      <c r="D16" s="668">
        <f t="shared" ref="D16:R16" ca="1" si="0">SUM(D9:D15)</f>
        <v>1890</v>
      </c>
      <c r="E16" s="668">
        <f t="shared" ca="1" si="0"/>
        <v>81340.558380000002</v>
      </c>
      <c r="F16" s="668">
        <f t="shared" si="0"/>
        <v>1903.7112845483903</v>
      </c>
      <c r="G16" s="668">
        <f t="shared" ca="1" si="0"/>
        <v>59744.216466137841</v>
      </c>
      <c r="H16" s="668">
        <f t="shared" si="0"/>
        <v>0</v>
      </c>
      <c r="I16" s="668">
        <f t="shared" si="0"/>
        <v>0</v>
      </c>
      <c r="J16" s="668">
        <f t="shared" si="0"/>
        <v>0</v>
      </c>
      <c r="K16" s="668">
        <f t="shared" si="0"/>
        <v>1286.0970964127177</v>
      </c>
      <c r="L16" s="668">
        <f t="shared" si="0"/>
        <v>0</v>
      </c>
      <c r="M16" s="668">
        <f t="shared" ca="1" si="0"/>
        <v>0</v>
      </c>
      <c r="N16" s="668">
        <f t="shared" si="0"/>
        <v>0</v>
      </c>
      <c r="O16" s="668">
        <f t="shared" ca="1" si="0"/>
        <v>8204.3212257196028</v>
      </c>
      <c r="P16" s="668">
        <f t="shared" si="0"/>
        <v>76.603333333333339</v>
      </c>
      <c r="Q16" s="668">
        <f t="shared" si="0"/>
        <v>190.66666666666666</v>
      </c>
      <c r="R16" s="668">
        <f t="shared" ca="1" si="0"/>
        <v>199533.97394227033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6.2987036348061043</v>
      </c>
      <c r="D19" s="635">
        <f>transport!C54</f>
        <v>0</v>
      </c>
      <c r="E19" s="635">
        <f>transport!D54</f>
        <v>0</v>
      </c>
      <c r="F19" s="635">
        <f>transport!E54</f>
        <v>0</v>
      </c>
      <c r="G19" s="635">
        <f>transport!F54</f>
        <v>0</v>
      </c>
      <c r="H19" s="635">
        <f>transport!G54</f>
        <v>1366.4405154788753</v>
      </c>
      <c r="I19" s="635">
        <f>transport!H54</f>
        <v>0</v>
      </c>
      <c r="J19" s="635">
        <f>transport!I54</f>
        <v>0</v>
      </c>
      <c r="K19" s="635">
        <f>transport!J54</f>
        <v>0</v>
      </c>
      <c r="L19" s="635">
        <f>transport!K54</f>
        <v>0</v>
      </c>
      <c r="M19" s="635">
        <f>transport!L54</f>
        <v>0</v>
      </c>
      <c r="N19" s="635">
        <f>transport!M54</f>
        <v>58.505734034503909</v>
      </c>
      <c r="O19" s="635">
        <f>transport!N54</f>
        <v>0</v>
      </c>
      <c r="P19" s="635">
        <f>transport!O54</f>
        <v>0</v>
      </c>
      <c r="Q19" s="636">
        <f>transport!P54</f>
        <v>0</v>
      </c>
      <c r="R19" s="638">
        <f>SUM(C19:Q19)</f>
        <v>1431.2449531481852</v>
      </c>
      <c r="S19" s="67"/>
    </row>
    <row r="20" spans="1:19" s="441" customFormat="1">
      <c r="A20" s="749" t="s">
        <v>296</v>
      </c>
      <c r="B20" s="754"/>
      <c r="C20" s="635">
        <f>transport!B14</f>
        <v>0.88184204446071401</v>
      </c>
      <c r="D20" s="635">
        <f>transport!C14</f>
        <v>0</v>
      </c>
      <c r="E20" s="635">
        <f>transport!D14</f>
        <v>3.2275276476159167</v>
      </c>
      <c r="F20" s="635">
        <f>transport!E14</f>
        <v>327.53819303014717</v>
      </c>
      <c r="G20" s="635">
        <f>transport!F14</f>
        <v>0</v>
      </c>
      <c r="H20" s="635">
        <f>transport!G14</f>
        <v>53269.803267303367</v>
      </c>
      <c r="I20" s="635">
        <f>transport!H14</f>
        <v>10995.339869404681</v>
      </c>
      <c r="J20" s="635">
        <f>transport!I14</f>
        <v>0</v>
      </c>
      <c r="K20" s="635">
        <f>transport!J14</f>
        <v>0</v>
      </c>
      <c r="L20" s="635">
        <f>transport!K14</f>
        <v>0</v>
      </c>
      <c r="M20" s="635">
        <f>transport!L14</f>
        <v>0</v>
      </c>
      <c r="N20" s="635">
        <f>transport!M14</f>
        <v>2800.880562945692</v>
      </c>
      <c r="O20" s="635">
        <f>transport!N14</f>
        <v>0</v>
      </c>
      <c r="P20" s="635">
        <f>transport!O14</f>
        <v>0</v>
      </c>
      <c r="Q20" s="636">
        <f>transport!P14</f>
        <v>0</v>
      </c>
      <c r="R20" s="638">
        <f>SUM(C20:Q20)</f>
        <v>67397.671262375967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7.1805456792668183</v>
      </c>
      <c r="D22" s="752">
        <f t="shared" ref="D22:R22" si="1">SUM(D18:D21)</f>
        <v>0</v>
      </c>
      <c r="E22" s="752">
        <f t="shared" si="1"/>
        <v>3.2275276476159167</v>
      </c>
      <c r="F22" s="752">
        <f t="shared" si="1"/>
        <v>327.53819303014717</v>
      </c>
      <c r="G22" s="752">
        <f t="shared" si="1"/>
        <v>0</v>
      </c>
      <c r="H22" s="752">
        <f t="shared" si="1"/>
        <v>54636.243782782243</v>
      </c>
      <c r="I22" s="752">
        <f t="shared" si="1"/>
        <v>10995.339869404681</v>
      </c>
      <c r="J22" s="752">
        <f t="shared" si="1"/>
        <v>0</v>
      </c>
      <c r="K22" s="752">
        <f t="shared" si="1"/>
        <v>0</v>
      </c>
      <c r="L22" s="752">
        <f t="shared" si="1"/>
        <v>0</v>
      </c>
      <c r="M22" s="752">
        <f t="shared" si="1"/>
        <v>0</v>
      </c>
      <c r="N22" s="752">
        <f t="shared" si="1"/>
        <v>2859.3862969801958</v>
      </c>
      <c r="O22" s="752">
        <f t="shared" si="1"/>
        <v>0</v>
      </c>
      <c r="P22" s="752">
        <f t="shared" si="1"/>
        <v>0</v>
      </c>
      <c r="Q22" s="752">
        <f t="shared" si="1"/>
        <v>0</v>
      </c>
      <c r="R22" s="752">
        <f t="shared" si="1"/>
        <v>68828.91621552415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139.30500000000001</v>
      </c>
      <c r="D24" s="635">
        <f>+landbouw!C8</f>
        <v>0</v>
      </c>
      <c r="E24" s="635">
        <f>+landbouw!D8</f>
        <v>0</v>
      </c>
      <c r="F24" s="635">
        <f>+landbouw!E8</f>
        <v>1.2553148124655125</v>
      </c>
      <c r="G24" s="635">
        <f>+landbouw!F8</f>
        <v>521.98008366181091</v>
      </c>
      <c r="H24" s="635">
        <f>+landbouw!G8</f>
        <v>0</v>
      </c>
      <c r="I24" s="635">
        <f>+landbouw!H8</f>
        <v>0</v>
      </c>
      <c r="J24" s="635">
        <f>+landbouw!I8</f>
        <v>0</v>
      </c>
      <c r="K24" s="635">
        <f>+landbouw!J8</f>
        <v>14.097089850607972</v>
      </c>
      <c r="L24" s="635">
        <f>+landbouw!K8</f>
        <v>0</v>
      </c>
      <c r="M24" s="635">
        <f>+landbouw!L8</f>
        <v>0</v>
      </c>
      <c r="N24" s="635">
        <f>+landbouw!M8</f>
        <v>0</v>
      </c>
      <c r="O24" s="635">
        <f>+landbouw!N8</f>
        <v>0</v>
      </c>
      <c r="P24" s="635">
        <f>+landbouw!O8</f>
        <v>0</v>
      </c>
      <c r="Q24" s="636">
        <f>+landbouw!P8</f>
        <v>0</v>
      </c>
      <c r="R24" s="638">
        <f>SUM(C24:Q24)</f>
        <v>676.63748832488443</v>
      </c>
      <c r="S24" s="67"/>
    </row>
    <row r="25" spans="1:19" s="441" customFormat="1" ht="15" thickBot="1">
      <c r="A25" s="771" t="s">
        <v>864</v>
      </c>
      <c r="B25" s="923"/>
      <c r="C25" s="924">
        <f>IF(Onbekend_ele_kWh="---",0,Onbekend_ele_kWh)/1000+IF(REST_rest_ele_kWh="---",0,REST_rest_ele_kWh)/1000</f>
        <v>8074.2449999999999</v>
      </c>
      <c r="D25" s="924"/>
      <c r="E25" s="924">
        <f>IF(onbekend_gas_kWh="---",0,onbekend_gas_kWh)/1000+IF(REST_rest_gas_kWh="---",0,REST_rest_gas_kWh)/1000</f>
        <v>30488.936000000002</v>
      </c>
      <c r="F25" s="924"/>
      <c r="G25" s="924"/>
      <c r="H25" s="924"/>
      <c r="I25" s="924"/>
      <c r="J25" s="924"/>
      <c r="K25" s="924"/>
      <c r="L25" s="924"/>
      <c r="M25" s="924"/>
      <c r="N25" s="924"/>
      <c r="O25" s="924"/>
      <c r="P25" s="924"/>
      <c r="Q25" s="925"/>
      <c r="R25" s="638">
        <f>SUM(C25:Q25)</f>
        <v>38563.181000000004</v>
      </c>
      <c r="S25" s="67"/>
    </row>
    <row r="26" spans="1:19" s="441" customFormat="1" ht="15.75" thickBot="1">
      <c r="A26" s="641" t="s">
        <v>865</v>
      </c>
      <c r="B26" s="757"/>
      <c r="C26" s="752">
        <f>SUM(C24:C25)</f>
        <v>8213.5499999999993</v>
      </c>
      <c r="D26" s="752">
        <f t="shared" ref="D26:R26" si="2">SUM(D24:D25)</f>
        <v>0</v>
      </c>
      <c r="E26" s="752">
        <f t="shared" si="2"/>
        <v>30488.936000000002</v>
      </c>
      <c r="F26" s="752">
        <f t="shared" si="2"/>
        <v>1.2553148124655125</v>
      </c>
      <c r="G26" s="752">
        <f t="shared" si="2"/>
        <v>521.98008366181091</v>
      </c>
      <c r="H26" s="752">
        <f t="shared" si="2"/>
        <v>0</v>
      </c>
      <c r="I26" s="752">
        <f t="shared" si="2"/>
        <v>0</v>
      </c>
      <c r="J26" s="752">
        <f t="shared" si="2"/>
        <v>0</v>
      </c>
      <c r="K26" s="752">
        <f t="shared" si="2"/>
        <v>14.097089850607972</v>
      </c>
      <c r="L26" s="752">
        <f t="shared" si="2"/>
        <v>0</v>
      </c>
      <c r="M26" s="752">
        <f t="shared" si="2"/>
        <v>0</v>
      </c>
      <c r="N26" s="752">
        <f t="shared" si="2"/>
        <v>0</v>
      </c>
      <c r="O26" s="752">
        <f t="shared" si="2"/>
        <v>0</v>
      </c>
      <c r="P26" s="752">
        <f t="shared" si="2"/>
        <v>0</v>
      </c>
      <c r="Q26" s="752">
        <f t="shared" si="2"/>
        <v>0</v>
      </c>
      <c r="R26" s="752">
        <f t="shared" si="2"/>
        <v>39239.81848832489</v>
      </c>
      <c r="S26" s="67"/>
    </row>
    <row r="27" spans="1:19" s="441" customFormat="1" ht="17.25" thickTop="1" thickBot="1">
      <c r="A27" s="642" t="s">
        <v>109</v>
      </c>
      <c r="B27" s="744"/>
      <c r="C27" s="643">
        <f ca="1">C22+C16+C26</f>
        <v>53118.530035131058</v>
      </c>
      <c r="D27" s="643">
        <f t="shared" ref="D27:R27" ca="1" si="3">D22+D16+D26</f>
        <v>1890</v>
      </c>
      <c r="E27" s="643">
        <f t="shared" ca="1" si="3"/>
        <v>111832.72190764762</v>
      </c>
      <c r="F27" s="643">
        <f t="shared" si="3"/>
        <v>2232.5047923910033</v>
      </c>
      <c r="G27" s="643">
        <f t="shared" ca="1" si="3"/>
        <v>60266.19654979965</v>
      </c>
      <c r="H27" s="643">
        <f t="shared" si="3"/>
        <v>54636.243782782243</v>
      </c>
      <c r="I27" s="643">
        <f t="shared" si="3"/>
        <v>10995.339869404681</v>
      </c>
      <c r="J27" s="643">
        <f t="shared" si="3"/>
        <v>0</v>
      </c>
      <c r="K27" s="643">
        <f t="shared" si="3"/>
        <v>1300.1941862633257</v>
      </c>
      <c r="L27" s="643">
        <f t="shared" si="3"/>
        <v>0</v>
      </c>
      <c r="M27" s="643">
        <f t="shared" ca="1" si="3"/>
        <v>0</v>
      </c>
      <c r="N27" s="643">
        <f t="shared" si="3"/>
        <v>2859.3862969801958</v>
      </c>
      <c r="O27" s="643">
        <f t="shared" ca="1" si="3"/>
        <v>8204.3212257196028</v>
      </c>
      <c r="P27" s="643">
        <f t="shared" si="3"/>
        <v>76.603333333333339</v>
      </c>
      <c r="Q27" s="643">
        <f t="shared" si="3"/>
        <v>190.66666666666666</v>
      </c>
      <c r="R27" s="643">
        <f t="shared" ca="1" si="3"/>
        <v>307602.70864611934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2900.7138429223719</v>
      </c>
      <c r="D40" s="635">
        <f ca="1">tertiair!C20</f>
        <v>449.15294117647068</v>
      </c>
      <c r="E40" s="635">
        <f ca="1">tertiair!D20</f>
        <v>7082.5671354839997</v>
      </c>
      <c r="F40" s="635">
        <f>tertiair!E20</f>
        <v>47.05385092161395</v>
      </c>
      <c r="G40" s="635">
        <f ca="1">tertiair!F20</f>
        <v>588.8582114544771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11068.345981958933</v>
      </c>
    </row>
    <row r="41" spans="1:18">
      <c r="A41" s="762" t="s">
        <v>214</v>
      </c>
      <c r="B41" s="769"/>
      <c r="C41" s="635">
        <f ca="1">huishoudens!B12</f>
        <v>6347.2878617768947</v>
      </c>
      <c r="D41" s="635">
        <f ca="1">huishoudens!C12</f>
        <v>0</v>
      </c>
      <c r="E41" s="635">
        <f>huishoudens!D12</f>
        <v>9115.5451365440022</v>
      </c>
      <c r="F41" s="635">
        <f>huishoudens!E12</f>
        <v>377.7175226840634</v>
      </c>
      <c r="G41" s="635">
        <f>huishoudens!F12</f>
        <v>15165.081714207021</v>
      </c>
      <c r="H41" s="635">
        <f>huishoudens!G12</f>
        <v>0</v>
      </c>
      <c r="I41" s="635">
        <f>huishoudens!H12</f>
        <v>0</v>
      </c>
      <c r="J41" s="635">
        <f>huishoudens!I12</f>
        <v>0</v>
      </c>
      <c r="K41" s="635">
        <f>huishoudens!J12</f>
        <v>452.74769325015615</v>
      </c>
      <c r="L41" s="635">
        <f>huishoudens!K12</f>
        <v>0</v>
      </c>
      <c r="M41" s="635">
        <f>huishoudens!L12</f>
        <v>0</v>
      </c>
      <c r="N41" s="635">
        <f>huishoudens!M12</f>
        <v>0</v>
      </c>
      <c r="O41" s="635">
        <f>huishoudens!N12</f>
        <v>0</v>
      </c>
      <c r="P41" s="635">
        <f>huishoudens!O12</f>
        <v>0</v>
      </c>
      <c r="Q41" s="710">
        <f>huishoudens!P12</f>
        <v>0</v>
      </c>
      <c r="R41" s="790">
        <f t="shared" ca="1" si="4"/>
        <v>31458.379928462138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429.95897889823857</v>
      </c>
      <c r="D43" s="635">
        <f ca="1">industrie!C22</f>
        <v>0</v>
      </c>
      <c r="E43" s="635">
        <f>industrie!D22</f>
        <v>232.68052073199999</v>
      </c>
      <c r="F43" s="635">
        <f>industrie!E22</f>
        <v>7.3710879868072832</v>
      </c>
      <c r="G43" s="635">
        <f>industrie!F22</f>
        <v>197.76587079730544</v>
      </c>
      <c r="H43" s="635">
        <f>industrie!G22</f>
        <v>0</v>
      </c>
      <c r="I43" s="635">
        <f>industrie!H22</f>
        <v>0</v>
      </c>
      <c r="J43" s="635">
        <f>industrie!I22</f>
        <v>0</v>
      </c>
      <c r="K43" s="635">
        <f>industrie!J22</f>
        <v>2.530678879945897</v>
      </c>
      <c r="L43" s="635">
        <f>industrie!K22</f>
        <v>0</v>
      </c>
      <c r="M43" s="635">
        <f>industrie!L22</f>
        <v>0</v>
      </c>
      <c r="N43" s="635">
        <f>industrie!M22</f>
        <v>0</v>
      </c>
      <c r="O43" s="635">
        <f>industrie!N22</f>
        <v>0</v>
      </c>
      <c r="P43" s="635">
        <f>industrie!O22</f>
        <v>0</v>
      </c>
      <c r="Q43" s="710">
        <f>industrie!P22</f>
        <v>0</v>
      </c>
      <c r="R43" s="789">
        <f t="shared" ca="1" si="4"/>
        <v>870.30713729429715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9677.9606835975064</v>
      </c>
      <c r="D46" s="668">
        <f t="shared" ref="D46:Q46" ca="1" si="5">SUM(D39:D45)</f>
        <v>449.15294117647068</v>
      </c>
      <c r="E46" s="668">
        <f t="shared" ca="1" si="5"/>
        <v>16430.792792760003</v>
      </c>
      <c r="F46" s="668">
        <f t="shared" si="5"/>
        <v>432.14246159248466</v>
      </c>
      <c r="G46" s="668">
        <f t="shared" ca="1" si="5"/>
        <v>15951.705796458804</v>
      </c>
      <c r="H46" s="668">
        <f t="shared" si="5"/>
        <v>0</v>
      </c>
      <c r="I46" s="668">
        <f t="shared" si="5"/>
        <v>0</v>
      </c>
      <c r="J46" s="668">
        <f t="shared" si="5"/>
        <v>0</v>
      </c>
      <c r="K46" s="668">
        <f t="shared" si="5"/>
        <v>455.27837213010207</v>
      </c>
      <c r="L46" s="668">
        <f t="shared" si="5"/>
        <v>0</v>
      </c>
      <c r="M46" s="668">
        <f t="shared" ca="1" si="5"/>
        <v>0</v>
      </c>
      <c r="N46" s="668">
        <f t="shared" si="5"/>
        <v>0</v>
      </c>
      <c r="O46" s="668">
        <f t="shared" ca="1" si="5"/>
        <v>0</v>
      </c>
      <c r="P46" s="668">
        <f t="shared" si="5"/>
        <v>0</v>
      </c>
      <c r="Q46" s="668">
        <f t="shared" si="5"/>
        <v>0</v>
      </c>
      <c r="R46" s="668">
        <f ca="1">SUM(R39:R45)</f>
        <v>43397.033047715362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1.3577192385477084</v>
      </c>
      <c r="D49" s="635">
        <f ca="1">transport!C58</f>
        <v>0</v>
      </c>
      <c r="E49" s="635">
        <f>transport!D58</f>
        <v>0</v>
      </c>
      <c r="F49" s="635">
        <f>transport!E58</f>
        <v>0</v>
      </c>
      <c r="G49" s="635">
        <f>transport!F58</f>
        <v>0</v>
      </c>
      <c r="H49" s="635">
        <f>transport!G58</f>
        <v>364.83961763285976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366.19733687140746</v>
      </c>
    </row>
    <row r="50" spans="1:18">
      <c r="A50" s="765" t="s">
        <v>296</v>
      </c>
      <c r="B50" s="775"/>
      <c r="C50" s="930">
        <f ca="1">transport!B18</f>
        <v>0.19008576661845306</v>
      </c>
      <c r="D50" s="930">
        <f>transport!C18</f>
        <v>0</v>
      </c>
      <c r="E50" s="930">
        <f>transport!D18</f>
        <v>0.65196058481841523</v>
      </c>
      <c r="F50" s="930">
        <f>transport!E18</f>
        <v>74.351169817843413</v>
      </c>
      <c r="G50" s="930">
        <f>transport!F18</f>
        <v>0</v>
      </c>
      <c r="H50" s="930">
        <f>transport!G18</f>
        <v>14223.037472370001</v>
      </c>
      <c r="I50" s="930">
        <f>transport!H18</f>
        <v>2737.8396274817655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17036.070316021047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1.5478050051661614</v>
      </c>
      <c r="D52" s="668">
        <f t="shared" ref="D52:Q52" ca="1" si="6">SUM(D48:D51)</f>
        <v>0</v>
      </c>
      <c r="E52" s="668">
        <f t="shared" si="6"/>
        <v>0.65196058481841523</v>
      </c>
      <c r="F52" s="668">
        <f t="shared" si="6"/>
        <v>74.351169817843413</v>
      </c>
      <c r="G52" s="668">
        <f t="shared" si="6"/>
        <v>0</v>
      </c>
      <c r="H52" s="668">
        <f t="shared" si="6"/>
        <v>14587.877090002861</v>
      </c>
      <c r="I52" s="668">
        <f t="shared" si="6"/>
        <v>2737.8396274817655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17402.267652892453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30.027937412507075</v>
      </c>
      <c r="D54" s="930">
        <f ca="1">+landbouw!C12</f>
        <v>0</v>
      </c>
      <c r="E54" s="930">
        <f>+landbouw!D12</f>
        <v>0</v>
      </c>
      <c r="F54" s="930">
        <f>+landbouw!E12</f>
        <v>0.28495646242967132</v>
      </c>
      <c r="G54" s="930">
        <f>+landbouw!F12</f>
        <v>139.36868233770352</v>
      </c>
      <c r="H54" s="930">
        <f>+landbouw!G12</f>
        <v>0</v>
      </c>
      <c r="I54" s="930">
        <f>+landbouw!H12</f>
        <v>0</v>
      </c>
      <c r="J54" s="930">
        <f>+landbouw!I12</f>
        <v>0</v>
      </c>
      <c r="K54" s="930">
        <f>+landbouw!J12</f>
        <v>4.990369807115222</v>
      </c>
      <c r="L54" s="930">
        <f>+landbouw!K12</f>
        <v>0</v>
      </c>
      <c r="M54" s="930">
        <f>+landbouw!L12</f>
        <v>0</v>
      </c>
      <c r="N54" s="930">
        <f>+landbouw!M12</f>
        <v>0</v>
      </c>
      <c r="O54" s="930">
        <f>+landbouw!N12</f>
        <v>0</v>
      </c>
      <c r="P54" s="930">
        <f>+landbouw!O12</f>
        <v>0</v>
      </c>
      <c r="Q54" s="931">
        <f>+landbouw!P12</f>
        <v>0</v>
      </c>
      <c r="R54" s="667">
        <f ca="1">SUM(C54:Q54)</f>
        <v>174.6719460197555</v>
      </c>
    </row>
    <row r="55" spans="1:18" ht="15" thickBot="1">
      <c r="A55" s="765" t="s">
        <v>864</v>
      </c>
      <c r="B55" s="775"/>
      <c r="C55" s="930">
        <f ca="1">C25*'EF ele_warmte'!B12</f>
        <v>1740.4466710688646</v>
      </c>
      <c r="D55" s="930"/>
      <c r="E55" s="930">
        <f>E25*EF_CO2_aardgas</f>
        <v>6158.7650720000011</v>
      </c>
      <c r="F55" s="930"/>
      <c r="G55" s="930"/>
      <c r="H55" s="930"/>
      <c r="I55" s="930"/>
      <c r="J55" s="930"/>
      <c r="K55" s="930"/>
      <c r="L55" s="930"/>
      <c r="M55" s="930"/>
      <c r="N55" s="930"/>
      <c r="O55" s="930"/>
      <c r="P55" s="930"/>
      <c r="Q55" s="931"/>
      <c r="R55" s="667">
        <f ca="1">SUM(C55:Q55)</f>
        <v>7899.2117430688659</v>
      </c>
    </row>
    <row r="56" spans="1:18" ht="15.75" thickBot="1">
      <c r="A56" s="763" t="s">
        <v>865</v>
      </c>
      <c r="B56" s="776"/>
      <c r="C56" s="668">
        <f ca="1">SUM(C54:C55)</f>
        <v>1770.4746084813717</v>
      </c>
      <c r="D56" s="668">
        <f t="shared" ref="D56:Q56" ca="1" si="7">SUM(D54:D55)</f>
        <v>0</v>
      </c>
      <c r="E56" s="668">
        <f t="shared" si="7"/>
        <v>6158.7650720000011</v>
      </c>
      <c r="F56" s="668">
        <f t="shared" si="7"/>
        <v>0.28495646242967132</v>
      </c>
      <c r="G56" s="668">
        <f t="shared" si="7"/>
        <v>139.36868233770352</v>
      </c>
      <c r="H56" s="668">
        <f t="shared" si="7"/>
        <v>0</v>
      </c>
      <c r="I56" s="668">
        <f t="shared" si="7"/>
        <v>0</v>
      </c>
      <c r="J56" s="668">
        <f t="shared" si="7"/>
        <v>0</v>
      </c>
      <c r="K56" s="668">
        <f t="shared" si="7"/>
        <v>4.990369807115222</v>
      </c>
      <c r="L56" s="668">
        <f t="shared" si="7"/>
        <v>0</v>
      </c>
      <c r="M56" s="668">
        <f t="shared" si="7"/>
        <v>0</v>
      </c>
      <c r="N56" s="668">
        <f t="shared" si="7"/>
        <v>0</v>
      </c>
      <c r="O56" s="668">
        <f t="shared" si="7"/>
        <v>0</v>
      </c>
      <c r="P56" s="668">
        <f t="shared" si="7"/>
        <v>0</v>
      </c>
      <c r="Q56" s="669">
        <f t="shared" si="7"/>
        <v>0</v>
      </c>
      <c r="R56" s="670">
        <f ca="1">SUM(R54:R55)</f>
        <v>8073.8836890886214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11449.983097084045</v>
      </c>
      <c r="D61" s="676">
        <f t="shared" ref="D61:Q61" ca="1" si="8">D46+D52+D56</f>
        <v>449.15294117647068</v>
      </c>
      <c r="E61" s="676">
        <f t="shared" ca="1" si="8"/>
        <v>22590.209825344824</v>
      </c>
      <c r="F61" s="676">
        <f t="shared" si="8"/>
        <v>506.77858787275773</v>
      </c>
      <c r="G61" s="676">
        <f t="shared" ca="1" si="8"/>
        <v>16091.074478796507</v>
      </c>
      <c r="H61" s="676">
        <f t="shared" si="8"/>
        <v>14587.877090002861</v>
      </c>
      <c r="I61" s="676">
        <f t="shared" si="8"/>
        <v>2737.8396274817655</v>
      </c>
      <c r="J61" s="676">
        <f t="shared" si="8"/>
        <v>0</v>
      </c>
      <c r="K61" s="676">
        <f t="shared" si="8"/>
        <v>460.26874193721727</v>
      </c>
      <c r="L61" s="676">
        <f t="shared" si="8"/>
        <v>0</v>
      </c>
      <c r="M61" s="676">
        <f t="shared" ca="1" si="8"/>
        <v>0</v>
      </c>
      <c r="N61" s="676">
        <f t="shared" si="8"/>
        <v>0</v>
      </c>
      <c r="O61" s="676">
        <f t="shared" ca="1" si="8"/>
        <v>0</v>
      </c>
      <c r="P61" s="676">
        <f t="shared" si="8"/>
        <v>0</v>
      </c>
      <c r="Q61" s="676">
        <f t="shared" si="8"/>
        <v>0</v>
      </c>
      <c r="R61" s="676">
        <f ca="1">R46+R52+R56</f>
        <v>68873.184389696427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0.21555534555476888</v>
      </c>
      <c r="D63" s="720">
        <f t="shared" ca="1" si="9"/>
        <v>0.23764705882352946</v>
      </c>
      <c r="E63" s="932">
        <f t="shared" ca="1" si="9"/>
        <v>0.20200000000000004</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1408.3081425495516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1323</v>
      </c>
      <c r="D76" s="942">
        <f>'lokale energieproductie'!C8</f>
        <v>1556.4705882352941</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314.40705882352944</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1408.3081425495516</v>
      </c>
      <c r="C78" s="691">
        <f>SUM(C72:C77)</f>
        <v>1323</v>
      </c>
      <c r="D78" s="692">
        <f t="shared" ref="D78:H78" si="10">SUM(D76:D77)</f>
        <v>1556.4705882352941</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314.40705882352944</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1890</v>
      </c>
      <c r="D87" s="713">
        <f>'lokale energieproductie'!C17</f>
        <v>2223.5294117647063</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449.15294117647068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1890</v>
      </c>
      <c r="D90" s="691">
        <f t="shared" ref="D90:H90" si="12">SUM(D87:D89)</f>
        <v>2223.5294117647063</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449.15294117647068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29446.209489451794</v>
      </c>
      <c r="C4" s="445">
        <f>huishoudens!C8</f>
        <v>0</v>
      </c>
      <c r="D4" s="445">
        <f>huishoudens!D8</f>
        <v>45126.461072000006</v>
      </c>
      <c r="E4" s="445">
        <f>huishoudens!E8</f>
        <v>1663.9538444231866</v>
      </c>
      <c r="F4" s="445">
        <f>huishoudens!F8</f>
        <v>56798.058854707939</v>
      </c>
      <c r="G4" s="445">
        <f>huishoudens!G8</f>
        <v>0</v>
      </c>
      <c r="H4" s="445">
        <f>huishoudens!H8</f>
        <v>0</v>
      </c>
      <c r="I4" s="445">
        <f>huishoudens!I8</f>
        <v>0</v>
      </c>
      <c r="J4" s="445">
        <f>huishoudens!J8</f>
        <v>1278.9482860173903</v>
      </c>
      <c r="K4" s="445">
        <f>huishoudens!K8</f>
        <v>0</v>
      </c>
      <c r="L4" s="445">
        <f>huishoudens!L8</f>
        <v>0</v>
      </c>
      <c r="M4" s="445">
        <f>huishoudens!M8</f>
        <v>0</v>
      </c>
      <c r="N4" s="445">
        <f>huishoudens!N8</f>
        <v>7883.6013724009817</v>
      </c>
      <c r="O4" s="445">
        <f>huishoudens!O8</f>
        <v>76.603333333333339</v>
      </c>
      <c r="P4" s="446">
        <f>huishoudens!P8</f>
        <v>152.53333333333333</v>
      </c>
      <c r="Q4" s="447">
        <f>SUM(B4:P4)</f>
        <v>142426.36958566794</v>
      </c>
    </row>
    <row r="5" spans="1:17">
      <c r="A5" s="444" t="s">
        <v>149</v>
      </c>
      <c r="B5" s="445">
        <f ca="1">tertiair!B16</f>
        <v>12640.375999999998</v>
      </c>
      <c r="C5" s="445">
        <f ca="1">tertiair!C16</f>
        <v>1890</v>
      </c>
      <c r="D5" s="445">
        <f ca="1">tertiair!D16</f>
        <v>35062.213541999998</v>
      </c>
      <c r="E5" s="445">
        <f>tertiair!E16</f>
        <v>207.2856868793566</v>
      </c>
      <c r="F5" s="445">
        <f ca="1">tertiair!F16</f>
        <v>2205.4614661216369</v>
      </c>
      <c r="G5" s="445">
        <f>tertiair!G16</f>
        <v>0</v>
      </c>
      <c r="H5" s="445">
        <f>tertiair!H16</f>
        <v>0</v>
      </c>
      <c r="I5" s="445">
        <f>tertiair!I16</f>
        <v>0</v>
      </c>
      <c r="J5" s="445">
        <f>tertiair!J16</f>
        <v>0</v>
      </c>
      <c r="K5" s="445">
        <f>tertiair!K16</f>
        <v>0</v>
      </c>
      <c r="L5" s="445">
        <f ca="1">tertiair!L16</f>
        <v>0</v>
      </c>
      <c r="M5" s="445">
        <f>tertiair!M16</f>
        <v>0</v>
      </c>
      <c r="N5" s="445">
        <f ca="1">tertiair!N16</f>
        <v>256.95429407790624</v>
      </c>
      <c r="O5" s="445">
        <f>tertiair!O16</f>
        <v>0</v>
      </c>
      <c r="P5" s="446">
        <f>tertiair!P16</f>
        <v>38.133333333333333</v>
      </c>
      <c r="Q5" s="444">
        <f t="shared" ref="Q5:Q14" ca="1" si="0">SUM(B5:P5)</f>
        <v>52300.424322412226</v>
      </c>
    </row>
    <row r="6" spans="1:17">
      <c r="A6" s="444" t="s">
        <v>187</v>
      </c>
      <c r="B6" s="445">
        <f>'openbare verlichting'!B8</f>
        <v>816.55700000000002</v>
      </c>
      <c r="C6" s="445"/>
      <c r="D6" s="445"/>
      <c r="E6" s="445"/>
      <c r="F6" s="445"/>
      <c r="G6" s="445"/>
      <c r="H6" s="445"/>
      <c r="I6" s="445"/>
      <c r="J6" s="445"/>
      <c r="K6" s="445"/>
      <c r="L6" s="445"/>
      <c r="M6" s="445"/>
      <c r="N6" s="445"/>
      <c r="O6" s="445"/>
      <c r="P6" s="446"/>
      <c r="Q6" s="444">
        <f t="shared" si="0"/>
        <v>816.55700000000002</v>
      </c>
    </row>
    <row r="7" spans="1:17">
      <c r="A7" s="444" t="s">
        <v>105</v>
      </c>
      <c r="B7" s="445">
        <f>landbouw!B8</f>
        <v>139.30500000000001</v>
      </c>
      <c r="C7" s="445">
        <f>landbouw!C8</f>
        <v>0</v>
      </c>
      <c r="D7" s="445">
        <f>landbouw!D8</f>
        <v>0</v>
      </c>
      <c r="E7" s="445">
        <f>landbouw!E8</f>
        <v>1.2553148124655125</v>
      </c>
      <c r="F7" s="445">
        <f>landbouw!F8</f>
        <v>521.98008366181091</v>
      </c>
      <c r="G7" s="445">
        <f>landbouw!G8</f>
        <v>0</v>
      </c>
      <c r="H7" s="445">
        <f>landbouw!H8</f>
        <v>0</v>
      </c>
      <c r="I7" s="445">
        <f>landbouw!I8</f>
        <v>0</v>
      </c>
      <c r="J7" s="445">
        <f>landbouw!J8</f>
        <v>14.097089850607972</v>
      </c>
      <c r="K7" s="445">
        <f>landbouw!K8</f>
        <v>0</v>
      </c>
      <c r="L7" s="445">
        <f>landbouw!L8</f>
        <v>0</v>
      </c>
      <c r="M7" s="445">
        <f>landbouw!M8</f>
        <v>0</v>
      </c>
      <c r="N7" s="445">
        <f>landbouw!N8</f>
        <v>0</v>
      </c>
      <c r="O7" s="445">
        <f>landbouw!O8</f>
        <v>0</v>
      </c>
      <c r="P7" s="446">
        <f>landbouw!P8</f>
        <v>0</v>
      </c>
      <c r="Q7" s="444">
        <f t="shared" si="0"/>
        <v>676.63748832488443</v>
      </c>
    </row>
    <row r="8" spans="1:17">
      <c r="A8" s="444" t="s">
        <v>613</v>
      </c>
      <c r="B8" s="445">
        <f>industrie!B18</f>
        <v>1994.6569999999999</v>
      </c>
      <c r="C8" s="445">
        <f>industrie!C18</f>
        <v>0</v>
      </c>
      <c r="D8" s="445">
        <f>industrie!D18</f>
        <v>1151.8837659999999</v>
      </c>
      <c r="E8" s="445">
        <f>industrie!E18</f>
        <v>32.471753245847061</v>
      </c>
      <c r="F8" s="445">
        <f>industrie!F18</f>
        <v>740.69614530826004</v>
      </c>
      <c r="G8" s="445">
        <f>industrie!G18</f>
        <v>0</v>
      </c>
      <c r="H8" s="445">
        <f>industrie!H18</f>
        <v>0</v>
      </c>
      <c r="I8" s="445">
        <f>industrie!I18</f>
        <v>0</v>
      </c>
      <c r="J8" s="445">
        <f>industrie!J18</f>
        <v>7.1488103953273932</v>
      </c>
      <c r="K8" s="445">
        <f>industrie!K18</f>
        <v>0</v>
      </c>
      <c r="L8" s="445">
        <f>industrie!L18</f>
        <v>0</v>
      </c>
      <c r="M8" s="445">
        <f>industrie!M18</f>
        <v>0</v>
      </c>
      <c r="N8" s="445">
        <f>industrie!N18</f>
        <v>63.765559240713912</v>
      </c>
      <c r="O8" s="445">
        <f>industrie!O18</f>
        <v>0</v>
      </c>
      <c r="P8" s="446">
        <f>industrie!P18</f>
        <v>0</v>
      </c>
      <c r="Q8" s="444">
        <f t="shared" si="0"/>
        <v>3990.6230341901487</v>
      </c>
    </row>
    <row r="9" spans="1:17" s="450" customFormat="1">
      <c r="A9" s="448" t="s">
        <v>555</v>
      </c>
      <c r="B9" s="449">
        <f>transport!B14</f>
        <v>0.88184204446071401</v>
      </c>
      <c r="C9" s="449">
        <f>transport!C14</f>
        <v>0</v>
      </c>
      <c r="D9" s="449">
        <f>transport!D14</f>
        <v>3.2275276476159167</v>
      </c>
      <c r="E9" s="449">
        <f>transport!E14</f>
        <v>327.53819303014717</v>
      </c>
      <c r="F9" s="449">
        <f>transport!F14</f>
        <v>0</v>
      </c>
      <c r="G9" s="449">
        <f>transport!G14</f>
        <v>53269.803267303367</v>
      </c>
      <c r="H9" s="449">
        <f>transport!H14</f>
        <v>10995.339869404681</v>
      </c>
      <c r="I9" s="449">
        <f>transport!I14</f>
        <v>0</v>
      </c>
      <c r="J9" s="449">
        <f>transport!J14</f>
        <v>0</v>
      </c>
      <c r="K9" s="449">
        <f>transport!K14</f>
        <v>0</v>
      </c>
      <c r="L9" s="449">
        <f>transport!L14</f>
        <v>0</v>
      </c>
      <c r="M9" s="449">
        <f>transport!M14</f>
        <v>2800.880562945692</v>
      </c>
      <c r="N9" s="449">
        <f>transport!N14</f>
        <v>0</v>
      </c>
      <c r="O9" s="449">
        <f>transport!O14</f>
        <v>0</v>
      </c>
      <c r="P9" s="449">
        <f>transport!P14</f>
        <v>0</v>
      </c>
      <c r="Q9" s="448">
        <f>SUM(B9:P9)</f>
        <v>67397.671262375967</v>
      </c>
    </row>
    <row r="10" spans="1:17">
      <c r="A10" s="444" t="s">
        <v>545</v>
      </c>
      <c r="B10" s="445">
        <f>transport!B54</f>
        <v>6.2987036348061043</v>
      </c>
      <c r="C10" s="445">
        <f>transport!C54</f>
        <v>0</v>
      </c>
      <c r="D10" s="445">
        <f>transport!D54</f>
        <v>0</v>
      </c>
      <c r="E10" s="445">
        <f>transport!E54</f>
        <v>0</v>
      </c>
      <c r="F10" s="445">
        <f>transport!F54</f>
        <v>0</v>
      </c>
      <c r="G10" s="445">
        <f>transport!G54</f>
        <v>1366.4405154788753</v>
      </c>
      <c r="H10" s="445">
        <f>transport!H54</f>
        <v>0</v>
      </c>
      <c r="I10" s="445">
        <f>transport!I54</f>
        <v>0</v>
      </c>
      <c r="J10" s="445">
        <f>transport!J54</f>
        <v>0</v>
      </c>
      <c r="K10" s="445">
        <f>transport!K54</f>
        <v>0</v>
      </c>
      <c r="L10" s="445">
        <f>transport!L54</f>
        <v>0</v>
      </c>
      <c r="M10" s="445">
        <f>transport!M54</f>
        <v>58.505734034503909</v>
      </c>
      <c r="N10" s="445">
        <f>transport!N54</f>
        <v>0</v>
      </c>
      <c r="O10" s="445">
        <f>transport!O54</f>
        <v>0</v>
      </c>
      <c r="P10" s="446">
        <f>transport!P54</f>
        <v>0</v>
      </c>
      <c r="Q10" s="444">
        <f t="shared" si="0"/>
        <v>1431.2449531481852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8074.2449999999999</v>
      </c>
      <c r="C14" s="452"/>
      <c r="D14" s="452">
        <f>'SEAP template'!E25</f>
        <v>30488.936000000002</v>
      </c>
      <c r="E14" s="452"/>
      <c r="F14" s="452"/>
      <c r="G14" s="452"/>
      <c r="H14" s="452"/>
      <c r="I14" s="452"/>
      <c r="J14" s="452"/>
      <c r="K14" s="452"/>
      <c r="L14" s="452"/>
      <c r="M14" s="452"/>
      <c r="N14" s="452"/>
      <c r="O14" s="452"/>
      <c r="P14" s="453"/>
      <c r="Q14" s="444">
        <f t="shared" si="0"/>
        <v>38563.181000000004</v>
      </c>
    </row>
    <row r="15" spans="1:17" s="457" customFormat="1">
      <c r="A15" s="454" t="s">
        <v>549</v>
      </c>
      <c r="B15" s="455">
        <f ca="1">SUM(B4:B14)</f>
        <v>53118.530035131058</v>
      </c>
      <c r="C15" s="455">
        <f t="shared" ref="C15:Q15" ca="1" si="1">SUM(C4:C14)</f>
        <v>1890</v>
      </c>
      <c r="D15" s="455">
        <f t="shared" ca="1" si="1"/>
        <v>111832.72190764762</v>
      </c>
      <c r="E15" s="455">
        <f t="shared" si="1"/>
        <v>2232.5047923910029</v>
      </c>
      <c r="F15" s="455">
        <f t="shared" ca="1" si="1"/>
        <v>60266.19654979965</v>
      </c>
      <c r="G15" s="455">
        <f t="shared" si="1"/>
        <v>54636.243782782243</v>
      </c>
      <c r="H15" s="455">
        <f t="shared" si="1"/>
        <v>10995.339869404681</v>
      </c>
      <c r="I15" s="455">
        <f t="shared" si="1"/>
        <v>0</v>
      </c>
      <c r="J15" s="455">
        <f t="shared" si="1"/>
        <v>1300.1941862633257</v>
      </c>
      <c r="K15" s="455">
        <f t="shared" si="1"/>
        <v>0</v>
      </c>
      <c r="L15" s="455">
        <f t="shared" ca="1" si="1"/>
        <v>0</v>
      </c>
      <c r="M15" s="455">
        <f t="shared" si="1"/>
        <v>2859.3862969801958</v>
      </c>
      <c r="N15" s="455">
        <f t="shared" ca="1" si="1"/>
        <v>8204.3212257196028</v>
      </c>
      <c r="O15" s="455">
        <f t="shared" si="1"/>
        <v>76.603333333333339</v>
      </c>
      <c r="P15" s="455">
        <f t="shared" si="1"/>
        <v>190.66666666666666</v>
      </c>
      <c r="Q15" s="455">
        <f t="shared" ca="1" si="1"/>
        <v>307602.70864611934</v>
      </c>
    </row>
    <row r="17" spans="1:17">
      <c r="A17" s="458" t="s">
        <v>550</v>
      </c>
      <c r="B17" s="725">
        <f ca="1">huishoudens!B10</f>
        <v>0.21555534555476885</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6347.2878617768947</v>
      </c>
      <c r="C22" s="445">
        <f t="shared" ref="C22:C32" ca="1" si="3">C4*$C$17</f>
        <v>0</v>
      </c>
      <c r="D22" s="445">
        <f t="shared" ref="D22:D32" si="4">D4*$D$17</f>
        <v>9115.5451365440022</v>
      </c>
      <c r="E22" s="445">
        <f t="shared" ref="E22:E32" si="5">E4*$E$17</f>
        <v>377.7175226840634</v>
      </c>
      <c r="F22" s="445">
        <f t="shared" ref="F22:F32" si="6">F4*$F$17</f>
        <v>15165.081714207021</v>
      </c>
      <c r="G22" s="445">
        <f t="shared" ref="G22:G32" si="7">G4*$G$17</f>
        <v>0</v>
      </c>
      <c r="H22" s="445">
        <f t="shared" ref="H22:H32" si="8">H4*$H$17</f>
        <v>0</v>
      </c>
      <c r="I22" s="445">
        <f t="shared" ref="I22:I32" si="9">I4*$I$17</f>
        <v>0</v>
      </c>
      <c r="J22" s="445">
        <f t="shared" ref="J22:J32" si="10">J4*$J$17</f>
        <v>452.74769325015615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31458.379928462138</v>
      </c>
    </row>
    <row r="23" spans="1:17">
      <c r="A23" s="444" t="s">
        <v>149</v>
      </c>
      <c r="B23" s="445">
        <f t="shared" ca="1" si="2"/>
        <v>2724.7006166222063</v>
      </c>
      <c r="C23" s="445">
        <f t="shared" ca="1" si="3"/>
        <v>449.15294117647068</v>
      </c>
      <c r="D23" s="445">
        <f t="shared" ca="1" si="4"/>
        <v>7082.5671354839997</v>
      </c>
      <c r="E23" s="445">
        <f t="shared" si="5"/>
        <v>47.05385092161395</v>
      </c>
      <c r="F23" s="445">
        <f t="shared" ca="1" si="6"/>
        <v>588.8582114544771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10892.332755658766</v>
      </c>
    </row>
    <row r="24" spans="1:17">
      <c r="A24" s="444" t="s">
        <v>187</v>
      </c>
      <c r="B24" s="445">
        <f t="shared" ca="1" si="2"/>
        <v>176.0132263001654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176.0132263001654</v>
      </c>
    </row>
    <row r="25" spans="1:17">
      <c r="A25" s="444" t="s">
        <v>105</v>
      </c>
      <c r="B25" s="445">
        <f t="shared" ca="1" si="2"/>
        <v>30.027937412507075</v>
      </c>
      <c r="C25" s="445">
        <f t="shared" ca="1" si="3"/>
        <v>0</v>
      </c>
      <c r="D25" s="445">
        <f t="shared" si="4"/>
        <v>0</v>
      </c>
      <c r="E25" s="445">
        <f t="shared" si="5"/>
        <v>0.28495646242967132</v>
      </c>
      <c r="F25" s="445">
        <f t="shared" si="6"/>
        <v>139.36868233770352</v>
      </c>
      <c r="G25" s="445">
        <f t="shared" si="7"/>
        <v>0</v>
      </c>
      <c r="H25" s="445">
        <f t="shared" si="8"/>
        <v>0</v>
      </c>
      <c r="I25" s="445">
        <f t="shared" si="9"/>
        <v>0</v>
      </c>
      <c r="J25" s="445">
        <f t="shared" si="10"/>
        <v>4.990369807115222</v>
      </c>
      <c r="K25" s="445">
        <f t="shared" si="11"/>
        <v>0</v>
      </c>
      <c r="L25" s="445">
        <f t="shared" si="12"/>
        <v>0</v>
      </c>
      <c r="M25" s="445">
        <f t="shared" si="13"/>
        <v>0</v>
      </c>
      <c r="N25" s="445">
        <f t="shared" si="14"/>
        <v>0</v>
      </c>
      <c r="O25" s="445">
        <f t="shared" si="15"/>
        <v>0</v>
      </c>
      <c r="P25" s="446">
        <f t="shared" si="16"/>
        <v>0</v>
      </c>
      <c r="Q25" s="444">
        <f t="shared" ca="1" si="17"/>
        <v>174.6719460197555</v>
      </c>
    </row>
    <row r="26" spans="1:17">
      <c r="A26" s="444" t="s">
        <v>613</v>
      </c>
      <c r="B26" s="445">
        <f t="shared" ca="1" si="2"/>
        <v>429.95897889823857</v>
      </c>
      <c r="C26" s="445">
        <f t="shared" ca="1" si="3"/>
        <v>0</v>
      </c>
      <c r="D26" s="445">
        <f t="shared" si="4"/>
        <v>232.68052073199999</v>
      </c>
      <c r="E26" s="445">
        <f t="shared" si="5"/>
        <v>7.3710879868072832</v>
      </c>
      <c r="F26" s="445">
        <f t="shared" si="6"/>
        <v>197.76587079730544</v>
      </c>
      <c r="G26" s="445">
        <f t="shared" si="7"/>
        <v>0</v>
      </c>
      <c r="H26" s="445">
        <f t="shared" si="8"/>
        <v>0</v>
      </c>
      <c r="I26" s="445">
        <f t="shared" si="9"/>
        <v>0</v>
      </c>
      <c r="J26" s="445">
        <f t="shared" si="10"/>
        <v>2.530678879945897</v>
      </c>
      <c r="K26" s="445">
        <f t="shared" si="11"/>
        <v>0</v>
      </c>
      <c r="L26" s="445">
        <f t="shared" si="12"/>
        <v>0</v>
      </c>
      <c r="M26" s="445">
        <f t="shared" si="13"/>
        <v>0</v>
      </c>
      <c r="N26" s="445">
        <f t="shared" si="14"/>
        <v>0</v>
      </c>
      <c r="O26" s="445">
        <f t="shared" si="15"/>
        <v>0</v>
      </c>
      <c r="P26" s="446">
        <f t="shared" si="16"/>
        <v>0</v>
      </c>
      <c r="Q26" s="444">
        <f t="shared" ca="1" si="17"/>
        <v>870.30713729429715</v>
      </c>
    </row>
    <row r="27" spans="1:17" s="450" customFormat="1">
      <c r="A27" s="448" t="s">
        <v>555</v>
      </c>
      <c r="B27" s="719">
        <f t="shared" ca="1" si="2"/>
        <v>0.19008576661845306</v>
      </c>
      <c r="C27" s="449">
        <f t="shared" ca="1" si="3"/>
        <v>0</v>
      </c>
      <c r="D27" s="449">
        <f t="shared" si="4"/>
        <v>0.65196058481841523</v>
      </c>
      <c r="E27" s="449">
        <f t="shared" si="5"/>
        <v>74.351169817843413</v>
      </c>
      <c r="F27" s="449">
        <f t="shared" si="6"/>
        <v>0</v>
      </c>
      <c r="G27" s="449">
        <f t="shared" si="7"/>
        <v>14223.037472370001</v>
      </c>
      <c r="H27" s="449">
        <f t="shared" si="8"/>
        <v>2737.8396274817655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17036.070316021047</v>
      </c>
    </row>
    <row r="28" spans="1:17">
      <c r="A28" s="444" t="s">
        <v>545</v>
      </c>
      <c r="B28" s="445">
        <f t="shared" ca="1" si="2"/>
        <v>1.3577192385477084</v>
      </c>
      <c r="C28" s="445">
        <f t="shared" ca="1" si="3"/>
        <v>0</v>
      </c>
      <c r="D28" s="445">
        <f t="shared" si="4"/>
        <v>0</v>
      </c>
      <c r="E28" s="445">
        <f t="shared" si="5"/>
        <v>0</v>
      </c>
      <c r="F28" s="445">
        <f t="shared" si="6"/>
        <v>0</v>
      </c>
      <c r="G28" s="445">
        <f t="shared" si="7"/>
        <v>364.83961763285976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366.19733687140746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1740.4466710688646</v>
      </c>
      <c r="C32" s="445">
        <f t="shared" ca="1" si="3"/>
        <v>0</v>
      </c>
      <c r="D32" s="445">
        <f t="shared" si="4"/>
        <v>6158.7650720000011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7899.2117430688659</v>
      </c>
    </row>
    <row r="33" spans="1:17" s="457" customFormat="1">
      <c r="A33" s="454" t="s">
        <v>549</v>
      </c>
      <c r="B33" s="455">
        <f ca="1">SUM(B22:B32)</f>
        <v>11449.983097084043</v>
      </c>
      <c r="C33" s="455">
        <f t="shared" ref="C33:Q33" ca="1" si="19">SUM(C22:C32)</f>
        <v>449.15294117647068</v>
      </c>
      <c r="D33" s="455">
        <f t="shared" ca="1" si="19"/>
        <v>22590.209825344824</v>
      </c>
      <c r="E33" s="455">
        <f t="shared" si="19"/>
        <v>506.77858787275773</v>
      </c>
      <c r="F33" s="455">
        <f t="shared" ca="1" si="19"/>
        <v>16091.074478796507</v>
      </c>
      <c r="G33" s="455">
        <f t="shared" si="19"/>
        <v>14587.877090002861</v>
      </c>
      <c r="H33" s="455">
        <f t="shared" si="19"/>
        <v>2737.8396274817655</v>
      </c>
      <c r="I33" s="455">
        <f t="shared" si="19"/>
        <v>0</v>
      </c>
      <c r="J33" s="455">
        <f t="shared" si="19"/>
        <v>460.26874193721727</v>
      </c>
      <c r="K33" s="455">
        <f t="shared" si="19"/>
        <v>0</v>
      </c>
      <c r="L33" s="455">
        <f t="shared" ca="1" si="19"/>
        <v>0</v>
      </c>
      <c r="M33" s="455">
        <f t="shared" si="19"/>
        <v>0</v>
      </c>
      <c r="N33" s="455">
        <f t="shared" ca="1" si="19"/>
        <v>0</v>
      </c>
      <c r="O33" s="455">
        <f t="shared" si="19"/>
        <v>0</v>
      </c>
      <c r="P33" s="455">
        <f t="shared" si="19"/>
        <v>0</v>
      </c>
      <c r="Q33" s="455">
        <f t="shared" ca="1" si="19"/>
        <v>68873.184389696442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1408.3081425495516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1323</v>
      </c>
      <c r="D8" s="963">
        <f>'SEAP template'!D76</f>
        <v>1556.4705882352941</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314.40705882352944</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1408.3081425495516</v>
      </c>
      <c r="C10" s="967">
        <f>SUM(C4:C9)</f>
        <v>1323</v>
      </c>
      <c r="D10" s="967">
        <f t="shared" ref="D10:H10" si="0">SUM(D8:D9)</f>
        <v>1556.4705882352941</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314.40705882352944</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0.21555534555476885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1890</v>
      </c>
      <c r="D17" s="964">
        <f>'SEAP template'!D87</f>
        <v>2223.5294117647063</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449.15294117647068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1890</v>
      </c>
      <c r="D20" s="967">
        <f t="shared" ref="D20:H20" si="2">SUM(D17:D19)</f>
        <v>2223.5294117647063</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449.15294117647068</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0.21555534555476885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2022-07-26T13:05:26Z</dcterms:modified>
</cp:coreProperties>
</file>