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1C73C8D8-6CD5-4883-9E7E-260F4978B06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<sst xmlns="http://schemas.openxmlformats.org/spreadsheetml/2006/main" count="2518" uniqueCount="965">
  <si>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</si>
  <si>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</si>
  <si>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</si>
  <si>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</si>
  <si>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</si>
  <si>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</si>
  <si>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</si>
  <si>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</si>
  <si>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</si>
  <si>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</si>
  <si>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</si>
  <si>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</si>
  <si>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</si>
  <si>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</si>
  <si>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</si>
  <si>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</si>
  <si>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</si>
  <si>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</si>
  <si>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</si>
  <si>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</si>
  <si>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</si>
  <si>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</si>
  <si>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</si>
  <si>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</si>
  <si>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</si>
  <si>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</si>
  <si>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</si>
  <si>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</si>
  <si>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</si>
  <si>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</si>
  <si>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</si>
  <si>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</si>
  <si>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</si>
  <si>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</si>
  <si>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</si>
  <si>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</si>
  <si>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</si>
  <si>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</si>
  <si>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</si>
  <si>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</si>
  <si>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</si>
  <si>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</si>
  <si>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</si>
  <si>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</si>
  <si>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</si>
  <si>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</si>
  <si>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</si>
  <si>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</si>
  <si>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</si>
  <si>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</si>
  <si>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</si>
  <si>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</si>
  <si>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</si>
  <si>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</si>
  <si>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</si>
  <si>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</si>
  <si>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</si>
  <si>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</si>
  <si>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</si>
  <si>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</si>
  <si>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</si>
  <si>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</si>
  <si>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</si>
  <si>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</si>
  <si>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</si>
  <si>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</si>
  <si>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</si>
  <si>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</si>
  <si>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</si>
  <si>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</si>
  <si>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</si>
  <si>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</si>
  <si>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</si>
  <si>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</si>
  <si>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</si>
  <si>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</si>
  <si>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</si>
  <si>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</si>
  <si>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</si>
  <si>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</si>
  <si>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</si>
  <si>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</si>
  <si>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</si>
  <si>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</si>
  <si>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</si>
  <si>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</si>
  <si>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</si>
  <si>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</si>
  <si>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</si>
  <si>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</si>
  <si>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</si>
  <si>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</si>
  <si>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</si>
  <si>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</si>
  <si>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</si>
  <si>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</si>
  <si>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</si>
  <si>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</si>
  <si>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</si>
  <si>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</si>
  <si>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</si>
  <si>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</si>
  <si>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</si>
  <si>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</si>
  <si>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</si>
  <si>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</si>
  <si>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</si>
  <si>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</si>
  <si>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</si>
  <si>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</si>
  <si>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</si>
  <si>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</si>
  <si>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</si>
  <si>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</si>
  <si>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</si>
  <si>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</si>
  <si>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</si>
  <si>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</si>
  <si>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</si>
  <si>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</si>
  <si>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</si>
  <si>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</si>
  <si>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</si>
  <si>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</si>
  <si>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</si>
  <si>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</si>
  <si>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</si>
  <si>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</si>
  <si>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</si>
  <si>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</si>
  <si>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</si>
  <si>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</si>
  <si>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</si>
  <si>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</si>
  <si>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</si>
  <si>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</si>
  <si>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</si>
  <si>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</si>
  <si>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</si>
  <si>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</si>
  <si>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</si>
  <si>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</si>
  <si>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</si>
  <si>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</si>
  <si>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</si>
  <si>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</si>
  <si>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</si>
  <si>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</si>
  <si>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</si>
  <si>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</si>
  <si>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</si>
  <si>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</si>
  <si>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</si>
  <si>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</si>
  <si>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</si>
  <si>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</si>
  <si>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</si>
  <si>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</si>
  <si>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</si>
  <si>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</si>
  <si>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</si>
  <si>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</si>
  <si>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</si>
  <si>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</si>
  <si>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</si>
  <si>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</si>
  <si>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</si>
  <si>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</si>
  <si>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</si>
  <si>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</si>
  <si>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</si>
  <si>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</si>
  <si>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</si>
  <si>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</si>
  <si>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</si>
  <si>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</si>
  <si>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</si>
  <si>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</si>
  <si>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</si>
  <si>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</si>
  <si>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</si>
  <si>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</si>
  <si>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</si>
  <si>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</si>
  <si>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</si>
  <si>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</si>
  <si>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</si>
  <si>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</si>
  <si>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</si>
  <si>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</si>
  <si>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</si>
  <si>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</si>
  <si>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</si>
  <si>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</si>
  <si>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</si>
  <si>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</si>
  <si>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</si>
  <si>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</si>
  <si>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</si>
  <si>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</si>
  <si>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</si>
  <si>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</si>
  <si>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</si>
  <si>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</si>
  <si>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</si>
  <si>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</si>
  <si>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</si>
  <si>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</si>
  <si>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</si>
  <si>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</si>
  <si>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</si>
  <si>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</si>
  <si>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</si>
  <si>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</si>
  <si>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</si>
  <si>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</si>
  <si>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</si>
  <si>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</si>
  <si>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</si>
  <si>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</si>
  <si>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</si>
  <si>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</si>
  <si>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</si>
  <si>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</si>
  <si>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</si>
  <si>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</si>
  <si>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</si>
  <si>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</si>
  <si>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</si>
  <si>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</si>
  <si>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</si>
  <si>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</si>
  <si>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</si>
  <si>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</si>
  <si>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</si>
  <si>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</si>
  <si>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</si>
  <si>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</si>
  <si>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</si>
  <si>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</si>
  <si>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</si>
  <si>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</si>
  <si>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</si>
  <si>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</si>
  <si>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</si>
  <si>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</si>
  <si>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</si>
  <si>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</si>
  <si>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</si>
  <si>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</si>
  <si>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</si>
  <si>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</si>
  <si>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</si>
  <si>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</si>
  <si>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</si>
  <si>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</si>
  <si>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</si>
  <si>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</si>
  <si>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</si>
  <si>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</si>
  <si>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</si>
  <si>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</si>
  <si>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</si>
  <si>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</si>
  <si>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</si>
  <si>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</si>
  <si>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</si>
  <si>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</si>
  <si>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</si>
  <si>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</si>
  <si>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</si>
  <si>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</si>
  <si>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</si>
  <si>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</si>
  <si>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</si>
  <si>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</si>
  <si>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</si>
  <si>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</si>
  <si>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</si>
  <si>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</si>
  <si>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</si>
  <si>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</si>
  <si>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</si>
  <si>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</si>
  <si>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</si>
  <si>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</si>
  <si>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</si>
  <si>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</si>
  <si>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</si>
  <si>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</si>
  <si>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</si>
  <si>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</si>
  <si>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</si>
  <si>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</si>
  <si>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</si>
  <si>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</si>
  <si>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</si>
  <si>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</si>
  <si>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</si>
  <si>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</si>
  <si>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</si>
  <si>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</si>
  <si>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</si>
  <si>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</si>
  <si>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</si>
  <si>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</si>
  <si>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</si>
  <si>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</si>
  <si>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</si>
  <si>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</si>
  <si>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</si>
  <si>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</si>
  <si>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</si>
  <si>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</si>
  <si>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</si>
  <si>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</si>
  <si>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</si>
  <si>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</si>
  <si>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</si>
  <si>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</si>
  <si>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</si>
  <si>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</si>
  <si>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</si>
  <si>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</si>
  <si>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</si>
  <si>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</si>
  <si>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</si>
  <si>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</si>
  <si>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</si>
  <si>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</si>
  <si>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</si>
  <si>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</si>
  <si>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</si>
  <si>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</si>
  <si>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</si>
  <si>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</si>
  <si>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</si>
  <si>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</si>
  <si>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</si>
  <si>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</si>
  <si>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</si>
  <si>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</si>
  <si>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</si>
  <si>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</si>
  <si>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</si>
  <si>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</si>
  <si>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</si>
  <si>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</si>
  <si>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</si>
  <si>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</si>
  <si>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</si>
  <si>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</si>
  <si>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</si>
  <si>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</si>
  <si>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</si>
  <si>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</si>
  <si>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</si>
  <si>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</si>
  <si>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</si>
  <si>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</si>
  <si>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</si>
  <si>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</si>
  <si>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</si>
  <si>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</si>
  <si>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</si>
  <si>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</si>
  <si>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</si>
  <si>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</si>
  <si>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</si>
  <si>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</si>
  <si>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</si>
  <si>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</si>
  <si>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</si>
  <si>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</si>
  <si>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</si>
  <si>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</si>
  <si>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</si>
  <si>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</si>
  <si>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</si>
  <si>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</si>
  <si>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</si>
  <si>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</si>
  <si>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</si>
  <si>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</si>
  <si>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</si>
  <si>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</si>
  <si>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</si>
  <si>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</si>
  <si>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</si>
  <si>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</si>
  <si>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</si>
  <si>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</si>
  <si>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</si>
  <si>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</si>
  <si>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</si>
  <si>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</si>
  <si>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</si>
  <si>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</si>
  <si>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</si>
  <si>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</si>
  <si>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</si>
  <si>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</si>
  <si>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</si>
  <si>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</si>
  <si>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</si>
  <si>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</si>
  <si>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</si>
  <si>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</si>
  <si>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</si>
  <si>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</si>
  <si>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</si>
  <si>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</si>
  <si>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</si>
  <si>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</si>
  <si>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</si>
  <si>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</si>
  <si>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</si>
  <si>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</si>
  <si>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</si>
  <si>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</si>
  <si>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</si>
  <si>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</si>
  <si>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</si>
  <si>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</si>
  <si>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</si>
  <si>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</si>
  <si>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</si>
  <si>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</si>
  <si>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</si>
  <si>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</si>
  <si>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</si>
  <si>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</si>
  <si>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</si>
  <si>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</si>
  <si>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</si>
  <si>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</si>
  <si>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</si>
  <si>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</si>
  <si>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</si>
  <si>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</si>
  <si>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</si>
  <si>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</si>
  <si>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</si>
  <si>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</si>
  <si>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</si>
  <si>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</si>
  <si>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</si>
  <si>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</si>
  <si>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</si>
  <si>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</si>
  <si>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</si>
  <si>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</si>
  <si>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</si>
  <si>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</si>
  <si>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</si>
  <si>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</si>
  <si>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</si>
  <si>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</si>
  <si>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</si>
  <si>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</si>
  <si>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</si>
  <si>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</si>
  <si>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</si>
  <si>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</si>
  <si>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</si>
  <si>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</si>
  <si>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</si>
  <si>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</si>
  <si>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</si>
  <si>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</si>
  <si>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</si>
  <si>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</si>
  <si>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</si>
  <si>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</si>
  <si>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</si>
  <si>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</si>
  <si>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</si>
  <si>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</si>
  <si>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</si>
  <si>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</si>
  <si>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</si>
  <si>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</si>
  <si>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</si>
  <si>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</si>
  <si>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</si>
  <si>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</si>
  <si>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</si>
  <si>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</si>
  <si>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</si>
  <si>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</si>
  <si>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</si>
  <si>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</si>
  <si>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</si>
  <si>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</si>
  <si>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</si>
  <si>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</si>
  <si>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</si>
  <si>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</si>
  <si>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</si>
  <si>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</si>
  <si>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</si>
  <si>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</si>
  <si>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</si>
  <si>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</si>
  <si>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</si>
  <si>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</si>
  <si>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</si>
  <si>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</si>
  <si>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</si>
  <si>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</si>
  <si>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</si>
  <si>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</si>
  <si>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</si>
  <si>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</si>
  <si>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</si>
  <si>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</si>
  <si>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</si>
  <si>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</si>
  <si>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</si>
  <si>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</si>
  <si>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</si>
  <si>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</si>
  <si>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</si>
  <si>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</si>
  <si>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</si>
  <si>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</si>
  <si>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</si>
  <si>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</si>
  <si>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</si>
  <si>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</si>
  <si>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</si>
  <si>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</si>
  <si>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</si>
  <si>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</si>
  <si>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</si>
  <si>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</si>
  <si>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</si>
  <si>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</si>
  <si>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</si>
  <si>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</si>
  <si>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</si>
  <si>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</si>
  <si>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</si>
  <si>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</si>
  <si>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</si>
  <si>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</si>
  <si>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</si>
  <si>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</si>
  <si>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</si>
  <si>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</si>
  <si>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</si>
  <si>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</si>
  <si>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</si>
  <si>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</si>
  <si>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</si>
  <si>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</si>
  <si>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</si>
  <si>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</si>
  <si>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</si>
  <si>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</si>
  <si>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</si>
  <si>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</si>
  <si>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</si>
  <si>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</si>
  <si>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</si>
  <si>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</si>
  <si>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</si>
  <si>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</si>
  <si>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</si>
  <si>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</si>
  <si>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</si>
  <si>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</si>
  <si>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</si>
  <si>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</si>
  <si>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</si>
  <si>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</si>
  <si>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</si>
  <si>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</si>
  <si>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</si>
  <si>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</si>
  <si>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</si>
  <si>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</si>
  <si>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</si>
  <si>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</si>
  <si>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</si>
  <si>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</si>
  <si>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</si>
  <si>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</si>
  <si>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</si>
  <si>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</si>
  <si>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</si>
  <si>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</si>
  <si>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</si>
  <si>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</si>
  <si>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</si>
  <si>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</si>
  <si>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</si>
  <si>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</si>
  <si>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</si>
  <si>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</si>
  <si>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</si>
  <si>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</si>
  <si>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</si>
  <si>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</si>
  <si>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</si>
  <si>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</si>
  <si>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</si>
  <si>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</si>
  <si>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</si>
  <si>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</si>
  <si>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</si>
  <si>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</si>
  <si>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</si>
  <si>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</si>
  <si>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</si>
  <si>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</si>
  <si>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</si>
  <si>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</si>
  <si>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</si>
  <si>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</si>
  <si>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</si>
  <si>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</si>
  <si>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</si>
  <si>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</si>
  <si>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</si>
  <si>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</si>
  <si>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</si>
  <si>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</si>
  <si>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</si>
  <si>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</si>
  <si>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</si>
  <si>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</si>
  <si>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</si>
  <si>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</si>
  <si>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</si>
  <si>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</si>
  <si>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</si>
  <si>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</si>
  <si>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</si>
  <si>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</si>
  <si>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</si>
  <si>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</si>
  <si>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</si>
  <si>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</si>
  <si>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</si>
  <si>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</si>
  <si>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</si>
  <si>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</si>
  <si>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</si>
  <si>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</si>
  <si>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</si>
  <si>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</si>
  <si>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</si>
  <si>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</si>
  <si>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</si>
  <si>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</si>
  <si>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</si>
  <si>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</si>
  <si>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</si>
  <si>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</si>
  <si>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</si>
  <si>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</si>
  <si>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</si>
  <si>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</si>
  <si>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</si>
  <si>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</si>
  <si>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</si>
  <si>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</si>
  <si>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</si>
  <si>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</si>
  <si>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</si>
  <si>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</si>
  <si>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</si>
  <si>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</si>
  <si>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</si>
  <si>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</si>
  <si>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</si>
  <si>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</si>
  <si>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</si>
  <si>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</si>
  <si>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</si>
  <si>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</si>
  <si>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</si>
  <si>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</si>
  <si>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</si>
  <si>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</si>
  <si>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</si>
  <si>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</si>
  <si>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</si>
  <si>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</si>
  <si>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</si>
  <si>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</si>
  <si>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</si>
  <si>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</si>
  <si>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</si>
  <si>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</si>
  <si>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</si>
  <si>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</si>
  <si>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</si>
  <si>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</si>
  <si>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</si>
  <si>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</si>
  <si>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</si>
  <si>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</si>
  <si>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</si>
  <si>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</si>
  <si>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</si>
  <si>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</si>
  <si>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</si>
  <si>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</si>
  <si>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</si>
  <si>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</si>
  <si>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</si>
  <si>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</si>
  <si>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</si>
  <si>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</si>
  <si>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</si>
  <si>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</si>
  <si>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</si>
  <si>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</si>
  <si>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</si>
  <si>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</si>
  <si>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</si>
  <si>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</si>
  <si>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</si>
  <si>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</si>
  <si>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</si>
  <si>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</si>
  <si>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</si>
  <si>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</si>
  <si>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</si>
  <si>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</si>
  <si>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</si>
  <si>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</si>
  <si>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</si>
  <si>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</si>
  <si>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</si>
  <si>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</si>
  <si>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</si>
  <si>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</si>
  <si>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</si>
  <si>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</si>
  <si>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</si>
  <si>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</si>
  <si>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</si>
  <si>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</si>
  <si>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</si>
  <si>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</si>
  <si>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</si>
  <si>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</si>
  <si>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</si>
  <si>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</si>
  <si>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</si>
  <si>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</si>
  <si>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</si>
  <si>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</si>
  <si>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</si>
  <si>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</si>
  <si>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</si>
  <si>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</si>
  <si>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</si>
  <si>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</si>
  <si>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</si>
  <si>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</si>
  <si>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</si>
  <si>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</si>
  <si>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</si>
  <si>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</si>
  <si>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</si>
  <si>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</si>
  <si>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</si>
  <si>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</si>
  <si>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</si>
  <si>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</si>
  <si>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</si>
  <si>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</si>
  <si>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</si>
  <si>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</si>
  <si>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</si>
  <si>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</si>
  <si>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</si>
  <si>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</si>
  <si>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</si>
  <si>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</si>
  <si>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</si>
  <si>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</si>
  <si>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</si>
  <si>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</si>
  <si>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</si>
  <si>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</si>
  <si>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</si>
  <si>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</si>
  <si>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</si>
  <si>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</si>
  <si>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</si>
  <si>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</si>
  <si>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</si>
  <si>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</si>
  <si>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</si>
  <si>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</si>
  <si>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</si>
  <si>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</si>
  <si>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</si>
  <si>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</si>
  <si>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</si>
  <si>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</si>
  <si>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</si>
  <si>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</si>
  <si>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</si>
  <si>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</si>
  <si>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</si>
  <si>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</si>
  <si>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</si>
  <si>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</si>
  <si>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</si>
  <si>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</si>
  <si>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</si>
  <si>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</si>
  <si>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</si>
  <si>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</si>
  <si>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</si>
  <si>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</si>
  <si>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</si>
  <si>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</si>
  <si>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</si>
  <si>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</si>
  <si>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</si>
  <si>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</si>
  <si>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</si>
  <si>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</si>
  <si>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</si>
  <si>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</si>
  <si>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</si>
  <si>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</si>
  <si>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</si>
  <si>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</si>
  <si>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</si>
  <si>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</si>
  <si>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</si>
  <si>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</si>
  <si>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</si>
  <si>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</si>
  <si>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</si>
  <si>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</si>
  <si>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</si>
  <si>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</si>
  <si>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</si>
  <si>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</si>
  <si>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</si>
  <si>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</si>
  <si>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</si>
  <si>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</si>
  <si>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</si>
  <si>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</si>
  <si>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</si>
  <si>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</si>
  <si>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</si>
  <si>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</si>
  <si>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</si>
  <si>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</si>
  <si>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</si>
  <si>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</si>
  <si>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</si>
  <si>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</si>
  <si>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</si>
  <si>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</si>
  <si>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</si>
  <si>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</si>
  <si>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</si>
  <si>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</si>
  <si>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</si>
  <si>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</si>
  <si>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</si>
  <si>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</si>
  <si>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</si>
  <si>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</si>
  <si>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</si>
  <si>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</si>
  <si>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</si>
  <si>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</si>
  <si>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</si>
  <si>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</si>
  <si>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</si>
  <si>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</si>
  <si>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</si>
  <si>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</si>
  <si>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</si>
  <si>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</si>
  <si>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</si>
  <si>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</si>
  <si>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</si>
  <si>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</si>
  <si>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</si>
  <si>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</si>
  <si>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</si>
  <si>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</si>
  <si>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</si>
  <si>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</si>
  <si>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</si>
  <si>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</si>
  <si>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</si>
  <si>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</si>
  <si>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</si>
  <si>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</si>
  <si>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</si>
  <si>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</si>
  <si>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</si>
  <si>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</si>
  <si>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</si>
  <si>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</si>
  <si>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</si>
  <si>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</si>
  <si>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</si>
  <si>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</si>
  <si>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</si>
  <si>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</si>
  <si>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</si>
  <si>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</si>
  <si>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</si>
  <si>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</si>
  <si>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</si>
  <si>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</si>
  <si>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</si>
  <si>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</si>
  <si>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</si>
  <si>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</si>
  <si>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</si>
  <si>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</si>
  <si>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</si>
  <si>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</si>
  <si>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</si>
  <si>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</si>
  <si>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</si>
  <si>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</si>
  <si>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</si>
  <si>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</si>
  <si>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</si>
  <si>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</si>
  <si>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</si>
  <si>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</si>
  <si>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</si>
  <si>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</si>
  <si>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</si>
  <si>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</si>
  <si>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</si>
  <si>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</si>
  <si>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</si>
  <si>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</si>
  <si>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</si>
  <si>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</si>
  <si>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</si>
  <si>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</si>
  <si>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</si>
  <si>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</si>
  <si>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</si>
  <si>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</si>
  <si>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</si>
  <si>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71004</t>
  </si>
  <si>
    <t>BERINGEN</t>
  </si>
  <si>
    <t>Paarden&amp;pony's 200 - 600 kg</t>
  </si>
  <si>
    <t>Paarden&amp;pony's &lt; 200 kg</t>
  </si>
  <si>
    <t>vloeibaar gas (MWh)</t>
  </si>
  <si>
    <t>interne verbrandingsmotor</t>
  </si>
  <si>
    <t>WKK interne verbrandinsgmotor (gas)</t>
  </si>
  <si>
    <t>eilandwerking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</si>
</sst>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987BB44B-6ABF-4D92-8BF9-039862FA538F}"/>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71004</v>
      </c>
      <c r="B6" s="382"/>
      <c r="C6" s="383"/>
    </row>
    <row r="7" spans="1:7" s="380" customFormat="1" ht="15.75" customHeight="1">
      <c r="A7" s="384" t="str">
        <f>txtMunicipality</f>
        <v>BERINGEN</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0.20969693596200423</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0.20969693596200423</v>
      </c>
      <c r="C29" s="495">
        <f ca="1">'EF ele_warmte'!B22</f>
        <v>0.23764705882352946</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16459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1971</v>
      </c>
      <c r="C14" s="324"/>
      <c r="D14" s="324"/>
      <c r="E14" s="324"/>
      <c r="F14" s="324"/>
    </row>
    <row r="15" spans="1:6">
      <c r="A15" s="1235" t="s">
        <v>177</v>
      </c>
      <c r="B15" s="1236">
        <v>3</v>
      </c>
      <c r="C15" s="324"/>
      <c r="D15" s="324"/>
      <c r="E15" s="324"/>
      <c r="F15" s="324"/>
    </row>
    <row r="16" spans="1:6">
      <c r="A16" s="1235" t="s">
        <v>6</v>
      </c>
      <c r="B16" s="1236">
        <v>104</v>
      </c>
      <c r="C16" s="324"/>
      <c r="D16" s="324"/>
      <c r="E16" s="324"/>
      <c r="F16" s="324"/>
    </row>
    <row r="17" spans="1:6">
      <c r="A17" s="1235" t="s">
        <v>7</v>
      </c>
      <c r="B17" s="1236">
        <v>143</v>
      </c>
      <c r="C17" s="324"/>
      <c r="D17" s="324"/>
      <c r="E17" s="324"/>
      <c r="F17" s="324"/>
    </row>
    <row r="18" spans="1:6">
      <c r="A18" s="1235" t="s">
        <v>8</v>
      </c>
      <c r="B18" s="1236">
        <v>211</v>
      </c>
      <c r="C18" s="324"/>
      <c r="D18" s="324"/>
      <c r="E18" s="324"/>
      <c r="F18" s="324"/>
    </row>
    <row r="19" spans="1:6">
      <c r="A19" s="1235" t="s">
        <v>9</v>
      </c>
      <c r="B19" s="1236">
        <v>197</v>
      </c>
      <c r="C19" s="324"/>
      <c r="D19" s="324"/>
      <c r="E19" s="324"/>
      <c r="F19" s="324"/>
    </row>
    <row r="20" spans="1:6">
      <c r="A20" s="1235" t="s">
        <v>10</v>
      </c>
      <c r="B20" s="1236">
        <v>205</v>
      </c>
      <c r="C20" s="324"/>
      <c r="D20" s="324"/>
      <c r="E20" s="324"/>
      <c r="F20" s="324"/>
    </row>
    <row r="21" spans="1:6">
      <c r="A21" s="1235" t="s">
        <v>11</v>
      </c>
      <c r="B21" s="1236">
        <v>1224</v>
      </c>
      <c r="C21" s="324"/>
      <c r="D21" s="324"/>
      <c r="E21" s="324"/>
      <c r="F21" s="324"/>
    </row>
    <row r="22" spans="1:6">
      <c r="A22" s="1235" t="s">
        <v>12</v>
      </c>
      <c r="B22" s="1236">
        <v>3348</v>
      </c>
      <c r="C22" s="324"/>
      <c r="D22" s="324"/>
      <c r="E22" s="324"/>
      <c r="F22" s="324"/>
    </row>
    <row r="23" spans="1:6">
      <c r="A23" s="1235" t="s">
        <v>13</v>
      </c>
      <c r="B23" s="1236">
        <v>33</v>
      </c>
      <c r="C23" s="324"/>
      <c r="D23" s="324"/>
      <c r="E23" s="324"/>
      <c r="F23" s="324"/>
    </row>
    <row r="24" spans="1:6">
      <c r="A24" s="1235" t="s">
        <v>14</v>
      </c>
      <c r="B24" s="1236">
        <v>13</v>
      </c>
      <c r="C24" s="324"/>
      <c r="D24" s="324"/>
      <c r="E24" s="324"/>
      <c r="F24" s="324"/>
    </row>
    <row r="25" spans="1:6">
      <c r="A25" s="1235" t="s">
        <v>15</v>
      </c>
      <c r="B25" s="1236">
        <v>916</v>
      </c>
      <c r="C25" s="324"/>
      <c r="D25" s="324"/>
      <c r="E25" s="324"/>
      <c r="F25" s="324"/>
    </row>
    <row r="26" spans="1:6">
      <c r="A26" s="1235" t="s">
        <v>16</v>
      </c>
      <c r="B26" s="1236">
        <v>670</v>
      </c>
      <c r="C26" s="324"/>
      <c r="D26" s="324"/>
      <c r="E26" s="324"/>
      <c r="F26" s="324"/>
    </row>
    <row r="27" spans="1:6">
      <c r="A27" s="1235" t="s">
        <v>17</v>
      </c>
      <c r="B27" s="1236">
        <v>33</v>
      </c>
      <c r="C27" s="324"/>
      <c r="D27" s="324"/>
      <c r="E27" s="324"/>
      <c r="F27" s="324"/>
    </row>
    <row r="28" spans="1:6">
      <c r="A28" s="1235" t="s">
        <v>18</v>
      </c>
      <c r="B28" s="1237">
        <v>9588</v>
      </c>
      <c r="C28" s="324"/>
      <c r="D28" s="324"/>
      <c r="E28" s="324"/>
      <c r="F28" s="324"/>
    </row>
    <row r="29" spans="1:6">
      <c r="A29" s="1235" t="s">
        <v>959</v>
      </c>
      <c r="B29" s="1237">
        <v>153</v>
      </c>
      <c r="C29" s="324"/>
      <c r="D29" s="324"/>
      <c r="E29" s="324"/>
      <c r="F29" s="324"/>
    </row>
    <row r="30" spans="1:6">
      <c r="A30" s="1230" t="s">
        <v>960</v>
      </c>
      <c r="B30" s="1238">
        <v>46</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13</v>
      </c>
      <c r="F36" s="1236">
        <v>521865</v>
      </c>
    </row>
    <row r="37" spans="1:6">
      <c r="A37" s="1235" t="s">
        <v>24</v>
      </c>
      <c r="B37" s="1235" t="s">
        <v>27</v>
      </c>
      <c r="C37" s="1236">
        <v>0</v>
      </c>
      <c r="D37" s="1236">
        <v>0</v>
      </c>
      <c r="E37" s="1236">
        <v>0</v>
      </c>
      <c r="F37" s="1236">
        <v>0</v>
      </c>
    </row>
    <row r="38" spans="1:6">
      <c r="A38" s="1235" t="s">
        <v>24</v>
      </c>
      <c r="B38" s="1235" t="s">
        <v>28</v>
      </c>
      <c r="C38" s="1236">
        <v>1</v>
      </c>
      <c r="D38" s="1236">
        <v>12430</v>
      </c>
      <c r="E38" s="1236">
        <v>1</v>
      </c>
      <c r="F38" s="1236">
        <v>0</v>
      </c>
    </row>
    <row r="39" spans="1:6">
      <c r="A39" s="1235" t="s">
        <v>29</v>
      </c>
      <c r="B39" s="1235" t="s">
        <v>30</v>
      </c>
      <c r="C39" s="1236">
        <v>7219</v>
      </c>
      <c r="D39" s="1236">
        <v>122574548</v>
      </c>
      <c r="E39" s="1236">
        <v>17081</v>
      </c>
      <c r="F39" s="1236">
        <v>68963543</v>
      </c>
    </row>
    <row r="40" spans="1:6">
      <c r="A40" s="1235" t="s">
        <v>29</v>
      </c>
      <c r="B40" s="1235" t="s">
        <v>28</v>
      </c>
      <c r="C40" s="1236">
        <v>0</v>
      </c>
      <c r="D40" s="1236">
        <v>0</v>
      </c>
      <c r="E40" s="1236">
        <v>0</v>
      </c>
      <c r="F40" s="1236">
        <v>0</v>
      </c>
    </row>
    <row r="41" spans="1:6">
      <c r="A41" s="1235" t="s">
        <v>31</v>
      </c>
      <c r="B41" s="1235" t="s">
        <v>32</v>
      </c>
      <c r="C41" s="1236">
        <v>79</v>
      </c>
      <c r="D41" s="1236">
        <v>3461893</v>
      </c>
      <c r="E41" s="1236">
        <v>200</v>
      </c>
      <c r="F41" s="1236">
        <v>4461679</v>
      </c>
    </row>
    <row r="42" spans="1:6">
      <c r="A42" s="1235" t="s">
        <v>31</v>
      </c>
      <c r="B42" s="1235" t="s">
        <v>33</v>
      </c>
      <c r="C42" s="1236">
        <v>3</v>
      </c>
      <c r="D42" s="1236">
        <v>1067734</v>
      </c>
      <c r="E42" s="1236">
        <v>3</v>
      </c>
      <c r="F42" s="1236">
        <v>4212300</v>
      </c>
    </row>
    <row r="43" spans="1:6">
      <c r="A43" s="1235" t="s">
        <v>31</v>
      </c>
      <c r="B43" s="1235" t="s">
        <v>34</v>
      </c>
      <c r="C43" s="1236">
        <v>0</v>
      </c>
      <c r="D43" s="1236">
        <v>0</v>
      </c>
      <c r="E43" s="1236">
        <v>0</v>
      </c>
      <c r="F43" s="1236">
        <v>0</v>
      </c>
    </row>
    <row r="44" spans="1:6">
      <c r="A44" s="1235" t="s">
        <v>31</v>
      </c>
      <c r="B44" s="1235" t="s">
        <v>35</v>
      </c>
      <c r="C44" s="1236">
        <v>20</v>
      </c>
      <c r="D44" s="1236">
        <v>10094684</v>
      </c>
      <c r="E44" s="1236">
        <v>37</v>
      </c>
      <c r="F44" s="1236">
        <v>4920546</v>
      </c>
    </row>
    <row r="45" spans="1:6">
      <c r="A45" s="1235" t="s">
        <v>31</v>
      </c>
      <c r="B45" s="1235" t="s">
        <v>36</v>
      </c>
      <c r="C45" s="1236">
        <v>3</v>
      </c>
      <c r="D45" s="1236">
        <v>304160</v>
      </c>
      <c r="E45" s="1236">
        <v>8</v>
      </c>
      <c r="F45" s="1236">
        <v>1755438</v>
      </c>
    </row>
    <row r="46" spans="1:6">
      <c r="A46" s="1235" t="s">
        <v>31</v>
      </c>
      <c r="B46" s="1235" t="s">
        <v>37</v>
      </c>
      <c r="C46" s="1236">
        <v>0</v>
      </c>
      <c r="D46" s="1236">
        <v>0</v>
      </c>
      <c r="E46" s="1236">
        <v>0</v>
      </c>
      <c r="F46" s="1236">
        <v>0</v>
      </c>
    </row>
    <row r="47" spans="1:6">
      <c r="A47" s="1235" t="s">
        <v>31</v>
      </c>
      <c r="B47" s="1235" t="s">
        <v>38</v>
      </c>
      <c r="C47" s="1236">
        <v>7</v>
      </c>
      <c r="D47" s="1236">
        <v>14617907</v>
      </c>
      <c r="E47" s="1236">
        <v>11</v>
      </c>
      <c r="F47" s="1236">
        <v>17268382</v>
      </c>
    </row>
    <row r="48" spans="1:6">
      <c r="A48" s="1235" t="s">
        <v>31</v>
      </c>
      <c r="B48" s="1235" t="s">
        <v>28</v>
      </c>
      <c r="C48" s="1236">
        <v>2</v>
      </c>
      <c r="D48" s="1236">
        <v>202098</v>
      </c>
      <c r="E48" s="1236">
        <v>0</v>
      </c>
      <c r="F48" s="1236">
        <v>0</v>
      </c>
    </row>
    <row r="49" spans="1:6">
      <c r="A49" s="1235" t="s">
        <v>31</v>
      </c>
      <c r="B49" s="1235" t="s">
        <v>39</v>
      </c>
      <c r="C49" s="1236">
        <v>0</v>
      </c>
      <c r="D49" s="1236">
        <v>0</v>
      </c>
      <c r="E49" s="1236">
        <v>6</v>
      </c>
      <c r="F49" s="1236">
        <v>333990</v>
      </c>
    </row>
    <row r="50" spans="1:6">
      <c r="A50" s="1235" t="s">
        <v>31</v>
      </c>
      <c r="B50" s="1235" t="s">
        <v>40</v>
      </c>
      <c r="C50" s="1236">
        <v>10</v>
      </c>
      <c r="D50" s="1236">
        <v>7751110</v>
      </c>
      <c r="E50" s="1236">
        <v>22</v>
      </c>
      <c r="F50" s="1236">
        <v>8159240</v>
      </c>
    </row>
    <row r="51" spans="1:6">
      <c r="A51" s="1235" t="s">
        <v>41</v>
      </c>
      <c r="B51" s="1235" t="s">
        <v>42</v>
      </c>
      <c r="C51" s="1236">
        <v>8</v>
      </c>
      <c r="D51" s="1236">
        <v>570311</v>
      </c>
      <c r="E51" s="1236">
        <v>44</v>
      </c>
      <c r="F51" s="1236">
        <v>812855</v>
      </c>
    </row>
    <row r="52" spans="1:6">
      <c r="A52" s="1235" t="s">
        <v>41</v>
      </c>
      <c r="B52" s="1235" t="s">
        <v>28</v>
      </c>
      <c r="C52" s="1236">
        <v>0</v>
      </c>
      <c r="D52" s="1236">
        <v>0</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140</v>
      </c>
      <c r="F54" s="1236">
        <v>2105730</v>
      </c>
    </row>
    <row r="55" spans="1:6">
      <c r="A55" s="1235" t="s">
        <v>45</v>
      </c>
      <c r="B55" s="1235" t="s">
        <v>28</v>
      </c>
      <c r="C55" s="1236">
        <v>0</v>
      </c>
      <c r="D55" s="1236">
        <v>0</v>
      </c>
      <c r="E55" s="1236">
        <v>0</v>
      </c>
      <c r="F55" s="1236">
        <v>0</v>
      </c>
    </row>
    <row r="56" spans="1:6">
      <c r="A56" s="1235" t="s">
        <v>47</v>
      </c>
      <c r="B56" s="1235" t="s">
        <v>28</v>
      </c>
      <c r="C56" s="1236">
        <v>83</v>
      </c>
      <c r="D56" s="1236">
        <v>4817321</v>
      </c>
      <c r="E56" s="1236">
        <v>287</v>
      </c>
      <c r="F56" s="1236">
        <v>6419258</v>
      </c>
    </row>
    <row r="57" spans="1:6">
      <c r="A57" s="1235" t="s">
        <v>48</v>
      </c>
      <c r="B57" s="1235" t="s">
        <v>49</v>
      </c>
      <c r="C57" s="1236">
        <v>67</v>
      </c>
      <c r="D57" s="1236">
        <v>4118635</v>
      </c>
      <c r="E57" s="1236">
        <v>200</v>
      </c>
      <c r="F57" s="1236">
        <v>5895519</v>
      </c>
    </row>
    <row r="58" spans="1:6">
      <c r="A58" s="1235" t="s">
        <v>48</v>
      </c>
      <c r="B58" s="1235" t="s">
        <v>50</v>
      </c>
      <c r="C58" s="1236">
        <v>38</v>
      </c>
      <c r="D58" s="1236">
        <v>2837722</v>
      </c>
      <c r="E58" s="1236">
        <v>85</v>
      </c>
      <c r="F58" s="1236">
        <v>1380845</v>
      </c>
    </row>
    <row r="59" spans="1:6">
      <c r="A59" s="1235" t="s">
        <v>48</v>
      </c>
      <c r="B59" s="1235" t="s">
        <v>51</v>
      </c>
      <c r="C59" s="1236">
        <v>155</v>
      </c>
      <c r="D59" s="1236">
        <v>8277660</v>
      </c>
      <c r="E59" s="1236">
        <v>350</v>
      </c>
      <c r="F59" s="1236">
        <v>14148156</v>
      </c>
    </row>
    <row r="60" spans="1:6">
      <c r="A60" s="1235" t="s">
        <v>48</v>
      </c>
      <c r="B60" s="1235" t="s">
        <v>52</v>
      </c>
      <c r="C60" s="1236">
        <v>61</v>
      </c>
      <c r="D60" s="1236">
        <v>3395481</v>
      </c>
      <c r="E60" s="1236">
        <v>105</v>
      </c>
      <c r="F60" s="1236">
        <v>3765154</v>
      </c>
    </row>
    <row r="61" spans="1:6">
      <c r="A61" s="1235" t="s">
        <v>48</v>
      </c>
      <c r="B61" s="1235" t="s">
        <v>53</v>
      </c>
      <c r="C61" s="1236">
        <v>169</v>
      </c>
      <c r="D61" s="1236">
        <v>13007083</v>
      </c>
      <c r="E61" s="1236">
        <v>527</v>
      </c>
      <c r="F61" s="1236">
        <v>13203442</v>
      </c>
    </row>
    <row r="62" spans="1:6">
      <c r="A62" s="1235" t="s">
        <v>48</v>
      </c>
      <c r="B62" s="1235" t="s">
        <v>54</v>
      </c>
      <c r="C62" s="1236">
        <v>14</v>
      </c>
      <c r="D62" s="1236">
        <v>2282836</v>
      </c>
      <c r="E62" s="1236">
        <v>36</v>
      </c>
      <c r="F62" s="1236">
        <v>1121370</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1</v>
      </c>
      <c r="D65" s="1236">
        <v>18809</v>
      </c>
      <c r="E65" s="1236">
        <v>3</v>
      </c>
      <c r="F65" s="1236">
        <v>390835</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5</v>
      </c>
      <c r="D68" s="1238">
        <v>239125</v>
      </c>
      <c r="E68" s="1238">
        <v>9</v>
      </c>
      <c r="F68" s="1238">
        <v>220041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90172530</v>
      </c>
      <c r="E73" s="443"/>
      <c r="F73" s="324"/>
    </row>
    <row r="74" spans="1:6">
      <c r="A74" s="1235" t="s">
        <v>63</v>
      </c>
      <c r="B74" s="1235" t="s">
        <v>730</v>
      </c>
      <c r="C74" s="1248" t="s">
        <v>731</v>
      </c>
      <c r="D74" s="1236">
        <v>4102382.0490858937</v>
      </c>
      <c r="E74" s="443"/>
      <c r="F74" s="324"/>
    </row>
    <row r="75" spans="1:6">
      <c r="A75" s="1235" t="s">
        <v>64</v>
      </c>
      <c r="B75" s="1235" t="s">
        <v>728</v>
      </c>
      <c r="C75" s="1248" t="s">
        <v>732</v>
      </c>
      <c r="D75" s="1236">
        <v>82516067</v>
      </c>
      <c r="E75" s="443"/>
      <c r="F75" s="324"/>
    </row>
    <row r="76" spans="1:6">
      <c r="A76" s="1235" t="s">
        <v>64</v>
      </c>
      <c r="B76" s="1235" t="s">
        <v>730</v>
      </c>
      <c r="C76" s="1248" t="s">
        <v>733</v>
      </c>
      <c r="D76" s="1236">
        <v>2003366.0490858937</v>
      </c>
      <c r="E76" s="443"/>
      <c r="F76" s="324"/>
    </row>
    <row r="77" spans="1:6">
      <c r="A77" s="1235" t="s">
        <v>65</v>
      </c>
      <c r="B77" s="1235" t="s">
        <v>728</v>
      </c>
      <c r="C77" s="1248" t="s">
        <v>734</v>
      </c>
      <c r="D77" s="1236">
        <v>86803172</v>
      </c>
      <c r="E77" s="443"/>
      <c r="F77" s="324"/>
    </row>
    <row r="78" spans="1:6">
      <c r="A78" s="1230" t="s">
        <v>65</v>
      </c>
      <c r="B78" s="1230" t="s">
        <v>730</v>
      </c>
      <c r="C78" s="1230" t="s">
        <v>735</v>
      </c>
      <c r="D78" s="1238">
        <v>17048640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1042987.9018282129</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5424.2566905415379</v>
      </c>
      <c r="C91" s="324"/>
      <c r="D91" s="324"/>
      <c r="E91" s="324"/>
      <c r="F91" s="324"/>
    </row>
    <row r="92" spans="1:6">
      <c r="A92" s="1230" t="s">
        <v>68</v>
      </c>
      <c r="B92" s="1231">
        <v>2988.260017139336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2269</v>
      </c>
      <c r="C97" s="324"/>
      <c r="D97" s="324"/>
      <c r="E97" s="324"/>
      <c r="F97" s="324"/>
    </row>
    <row r="98" spans="1:6">
      <c r="A98" s="1235" t="s">
        <v>71</v>
      </c>
      <c r="B98" s="1236">
        <v>9</v>
      </c>
      <c r="C98" s="324"/>
      <c r="D98" s="324"/>
      <c r="E98" s="324"/>
      <c r="F98" s="324"/>
    </row>
    <row r="99" spans="1:6">
      <c r="A99" s="1235" t="s">
        <v>72</v>
      </c>
      <c r="B99" s="1236">
        <v>57</v>
      </c>
      <c r="C99" s="324"/>
      <c r="D99" s="324"/>
      <c r="E99" s="324"/>
      <c r="F99" s="324"/>
    </row>
    <row r="100" spans="1:6">
      <c r="A100" s="1235" t="s">
        <v>73</v>
      </c>
      <c r="B100" s="1236">
        <v>465</v>
      </c>
      <c r="C100" s="324"/>
      <c r="D100" s="324"/>
      <c r="E100" s="324"/>
      <c r="F100" s="324"/>
    </row>
    <row r="101" spans="1:6">
      <c r="A101" s="1235" t="s">
        <v>74</v>
      </c>
      <c r="B101" s="1236">
        <v>121</v>
      </c>
      <c r="C101" s="324"/>
      <c r="D101" s="324"/>
      <c r="E101" s="324"/>
      <c r="F101" s="324"/>
    </row>
    <row r="102" spans="1:6">
      <c r="A102" s="1235" t="s">
        <v>75</v>
      </c>
      <c r="B102" s="1236">
        <v>138</v>
      </c>
      <c r="C102" s="324"/>
      <c r="D102" s="324"/>
      <c r="E102" s="324"/>
      <c r="F102" s="324"/>
    </row>
    <row r="103" spans="1:6">
      <c r="A103" s="1235" t="s">
        <v>76</v>
      </c>
      <c r="B103" s="1236">
        <v>299</v>
      </c>
      <c r="C103" s="324"/>
      <c r="D103" s="324"/>
      <c r="E103" s="324"/>
      <c r="F103" s="324"/>
    </row>
    <row r="104" spans="1:6">
      <c r="A104" s="1235" t="s">
        <v>77</v>
      </c>
      <c r="B104" s="1236">
        <v>10765</v>
      </c>
      <c r="C104" s="324"/>
      <c r="D104" s="324"/>
      <c r="E104" s="324"/>
      <c r="F104" s="324"/>
    </row>
    <row r="105" spans="1:6">
      <c r="A105" s="1230" t="s">
        <v>78</v>
      </c>
      <c r="B105" s="1238">
        <v>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12</v>
      </c>
      <c r="C123" s="1236">
        <v>16</v>
      </c>
      <c r="D123" s="324"/>
      <c r="E123" s="324"/>
      <c r="F123" s="324"/>
    </row>
    <row r="124" spans="1:6">
      <c r="A124" s="1235" t="s">
        <v>88</v>
      </c>
      <c r="B124" s="1236">
        <v>0</v>
      </c>
      <c r="C124" s="1236">
        <v>1</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114</v>
      </c>
      <c r="C129" s="324"/>
      <c r="D129" s="324"/>
      <c r="E129" s="324"/>
      <c r="F129" s="324"/>
    </row>
    <row r="130" spans="1:6">
      <c r="A130" s="1235" t="s">
        <v>284</v>
      </c>
      <c r="B130" s="1236">
        <v>1</v>
      </c>
      <c r="C130" s="324"/>
      <c r="D130" s="324"/>
      <c r="E130" s="324"/>
      <c r="F130" s="324"/>
    </row>
    <row r="131" spans="1:6">
      <c r="A131" s="1235" t="s">
        <v>285</v>
      </c>
      <c r="B131" s="1236">
        <v>1</v>
      </c>
      <c r="C131" s="324"/>
      <c r="D131" s="324"/>
      <c r="E131" s="324"/>
      <c r="F131" s="324"/>
    </row>
    <row r="132" spans="1:6">
      <c r="A132" s="1230" t="s">
        <v>286</v>
      </c>
      <c r="B132" s="1231">
        <v>20</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164417.10570720103</v>
      </c>
      <c r="C3" s="43" t="s">
        <v>163</v>
      </c>
      <c r="D3" s="43"/>
      <c r="E3" s="155"/>
      <c r="F3" s="43"/>
      <c r="G3" s="43"/>
      <c r="H3" s="43"/>
      <c r="I3" s="43"/>
      <c r="J3" s="43"/>
      <c r="K3" s="96"/>
    </row>
    <row r="4" spans="1:11">
      <c r="A4" s="350" t="s">
        <v>164</v>
      </c>
      <c r="B4" s="49">
        <f>IF(ISERROR('SEAP template'!B78+'SEAP template'!C78),0,'SEAP template'!B78+'SEAP template'!C78)</f>
        <v>8457.5167076808739</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10.694117647058825</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0.20969693596200423</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15.277310924369752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64.285714285714292</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2105.73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2105.73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0.20969693596200423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441.56512896327115</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68963.543000000005</v>
      </c>
      <c r="C5" s="17">
        <f>IF(ISERROR('Eigen informatie GS &amp; warmtenet'!B57),0,'Eigen informatie GS &amp; warmtenet'!B57)</f>
        <v>0</v>
      </c>
      <c r="D5" s="30">
        <f>(SUM(HH_hh_gas_kWh,HH_rest_gas_kWh)/1000)*0.902</f>
        <v>110562.242296</v>
      </c>
      <c r="E5" s="17">
        <f>B32*B41</f>
        <v>4618.7715428286638</v>
      </c>
      <c r="F5" s="17">
        <f>B36*B45</f>
        <v>157658.97522053708</v>
      </c>
      <c r="G5" s="18"/>
      <c r="H5" s="17"/>
      <c r="I5" s="17"/>
      <c r="J5" s="17">
        <f>B35*B44+C35*C44</f>
        <v>3550.0804111873367</v>
      </c>
      <c r="K5" s="17"/>
      <c r="L5" s="17"/>
      <c r="M5" s="17"/>
      <c r="N5" s="17">
        <f>B34*B43+C34*C43</f>
        <v>20817.315810412321</v>
      </c>
      <c r="O5" s="17">
        <f>B52*B53*B54</f>
        <v>204.79666666666668</v>
      </c>
      <c r="P5" s="17">
        <f>B60*B61*B62/1000-B60*B61*B62/1000/B63</f>
        <v>610.13333333333333</v>
      </c>
    </row>
    <row r="6" spans="1:16">
      <c r="A6" s="16" t="s">
        <v>591</v>
      </c>
      <c r="B6" s="727">
        <f>kWh_PV_kleiner_dan_10kW</f>
        <v>5424.2566905415379</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74387.799690541549</v>
      </c>
      <c r="C8" s="21">
        <f>C5</f>
        <v>0</v>
      </c>
      <c r="D8" s="21">
        <f>D5</f>
        <v>110562.242296</v>
      </c>
      <c r="E8" s="21">
        <f>E5</f>
        <v>4618.7715428286638</v>
      </c>
      <c r="F8" s="21">
        <f>F5</f>
        <v>157658.97522053708</v>
      </c>
      <c r="G8" s="21"/>
      <c r="H8" s="21"/>
      <c r="I8" s="21"/>
      <c r="J8" s="21">
        <f>J5</f>
        <v>3550.0804111873367</v>
      </c>
      <c r="K8" s="21"/>
      <c r="L8" s="21">
        <f>L5</f>
        <v>0</v>
      </c>
      <c r="M8" s="21">
        <f>M5</f>
        <v>0</v>
      </c>
      <c r="N8" s="21">
        <f>N5</f>
        <v>20817.315810412321</v>
      </c>
      <c r="O8" s="21">
        <f>O5</f>
        <v>204.79666666666668</v>
      </c>
      <c r="P8" s="21">
        <f>P5</f>
        <v>610.13333333333333</v>
      </c>
    </row>
    <row r="9" spans="1:16">
      <c r="B9" s="19"/>
      <c r="C9" s="19"/>
      <c r="D9" s="255"/>
      <c r="E9" s="19"/>
      <c r="F9" s="19"/>
      <c r="G9" s="19"/>
      <c r="H9" s="19"/>
      <c r="I9" s="19"/>
      <c r="J9" s="19"/>
      <c r="K9" s="19"/>
      <c r="L9" s="19"/>
      <c r="M9" s="19"/>
      <c r="N9" s="19"/>
      <c r="O9" s="19"/>
      <c r="P9" s="19"/>
    </row>
    <row r="10" spans="1:16">
      <c r="A10" s="24" t="s">
        <v>207</v>
      </c>
      <c r="B10" s="25">
        <f ca="1">'EF ele_warmte'!B12</f>
        <v>0.20969693596200423</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15598.89366806189</v>
      </c>
      <c r="C12" s="23">
        <f ca="1">C10*C8</f>
        <v>0</v>
      </c>
      <c r="D12" s="23">
        <f>D8*D10</f>
        <v>22333.572943792002</v>
      </c>
      <c r="E12" s="23">
        <f>E10*E8</f>
        <v>1048.4611402221067</v>
      </c>
      <c r="F12" s="23">
        <f>F10*F8</f>
        <v>42094.946383883398</v>
      </c>
      <c r="G12" s="23"/>
      <c r="H12" s="23"/>
      <c r="I12" s="23"/>
      <c r="J12" s="23">
        <f>J10*J8</f>
        <v>1256.7284655603171</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16459</v>
      </c>
      <c r="C26" s="36"/>
      <c r="D26" s="225"/>
    </row>
    <row r="27" spans="1:5" s="15" customFormat="1">
      <c r="A27" s="227" t="s">
        <v>671</v>
      </c>
      <c r="B27" s="37">
        <f>SUM(HH_hh_gas_aantal,HH_rest_gas_aantal)</f>
        <v>7219</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6858.05</v>
      </c>
      <c r="C31" s="34" t="s">
        <v>104</v>
      </c>
      <c r="D31" s="171"/>
    </row>
    <row r="32" spans="1:5">
      <c r="A32" s="168" t="s">
        <v>72</v>
      </c>
      <c r="B32" s="33">
        <f>IF((B21*($B$26-($B$27-0.05*$B$27)-$B$60))&lt;0,0,B21*($B$26-($B$27-0.05*$B$27)-$B$60))</f>
        <v>67.839727946028077</v>
      </c>
      <c r="C32" s="34" t="s">
        <v>104</v>
      </c>
      <c r="D32" s="171"/>
    </row>
    <row r="33" spans="1:6">
      <c r="A33" s="168" t="s">
        <v>73</v>
      </c>
      <c r="B33" s="33">
        <f>IF((B22*($B$26-($B$27-0.05*$B$27)-$B$60))&lt;0,0,B22*($B$26-($B$27-0.05*$B$27)-$B$60))</f>
        <v>1944.2773730382066</v>
      </c>
      <c r="C33" s="34" t="s">
        <v>104</v>
      </c>
      <c r="D33" s="171"/>
    </row>
    <row r="34" spans="1:6">
      <c r="A34" s="168" t="s">
        <v>74</v>
      </c>
      <c r="B34" s="33">
        <f>IF((B24*($B$26-($B$27-0.05*$B$27)-$B$60))&lt;0,0,B24*($B$26-($B$27-0.05*$B$27)-$B$60))</f>
        <v>387.70945592752349</v>
      </c>
      <c r="C34" s="33">
        <f>B26*C24</f>
        <v>3365.4970608410572</v>
      </c>
      <c r="D34" s="230"/>
    </row>
    <row r="35" spans="1:6">
      <c r="A35" s="168" t="s">
        <v>76</v>
      </c>
      <c r="B35" s="33">
        <f>IF((B19*($B$26-($B$27-0.05*$B$27)-$B$60))&lt;0,0,B19*($B$26-($B$27-0.05*$B$27)-$B$60))</f>
        <v>201.90395222032171</v>
      </c>
      <c r="C35" s="33">
        <f>B35/2</f>
        <v>100.95197611016086</v>
      </c>
      <c r="D35" s="230"/>
    </row>
    <row r="36" spans="1:6">
      <c r="A36" s="168" t="s">
        <v>77</v>
      </c>
      <c r="B36" s="33">
        <f>IF((B18*($B$26-($B$27-0.05*$B$27)-$B$60))&lt;0,0,B18*($B$26-($B$27-0.05*$B$27)-$B$60))</f>
        <v>6967.2194908679203</v>
      </c>
      <c r="C36" s="34" t="s">
        <v>104</v>
      </c>
      <c r="D36" s="171"/>
    </row>
    <row r="37" spans="1:6">
      <c r="A37" s="168" t="s">
        <v>78</v>
      </c>
      <c r="B37" s="33">
        <f>B60</f>
        <v>32</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131</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32</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39514.486000000004</v>
      </c>
      <c r="C5" s="17">
        <f>IF(ISERROR('Eigen informatie GS &amp; warmtenet'!B58),0,'Eigen informatie GS &amp; warmtenet'!B58)</f>
        <v>0</v>
      </c>
      <c r="D5" s="30">
        <f>SUM(D6:D12)</f>
        <v>30595.314134</v>
      </c>
      <c r="E5" s="17">
        <f>SUM(E6:E12)</f>
        <v>772.43765494467232</v>
      </c>
      <c r="F5" s="17">
        <f>SUM(F6:F12)</f>
        <v>7983.3290951824783</v>
      </c>
      <c r="G5" s="18"/>
      <c r="H5" s="17"/>
      <c r="I5" s="17"/>
      <c r="J5" s="17">
        <f>SUM(J6:J12)</f>
        <v>0</v>
      </c>
      <c r="K5" s="17"/>
      <c r="L5" s="17"/>
      <c r="M5" s="17"/>
      <c r="N5" s="17">
        <f>SUM(N6:N12)</f>
        <v>1453.8895226197174</v>
      </c>
      <c r="O5" s="17">
        <f>B38*B39*B40</f>
        <v>1.5633333333333335</v>
      </c>
      <c r="P5" s="17">
        <f>B46*B47*B48/1000-B46*B47*B48/1000/B49</f>
        <v>19.066666666666666</v>
      </c>
      <c r="R5" s="32"/>
    </row>
    <row r="6" spans="1:18">
      <c r="A6" s="32" t="s">
        <v>53</v>
      </c>
      <c r="B6" s="37">
        <f>B26</f>
        <v>13203.441999999999</v>
      </c>
      <c r="C6" s="33"/>
      <c r="D6" s="37">
        <f>IF(ISERROR(TER_kantoor_gas_kWh/1000),0,TER_kantoor_gas_kWh/1000)*0.902</f>
        <v>11732.388866000001</v>
      </c>
      <c r="E6" s="33">
        <f>$C$26*'E Balans VL '!I12/100/3.6*1000000</f>
        <v>456.73361022416032</v>
      </c>
      <c r="F6" s="33">
        <f>$C$26*('E Balans VL '!L12+'E Balans VL '!N12)/100/3.6*1000000</f>
        <v>2015.6456215153114</v>
      </c>
      <c r="G6" s="34"/>
      <c r="H6" s="33"/>
      <c r="I6" s="33"/>
      <c r="J6" s="33">
        <f>$C$26*('E Balans VL '!D12+'E Balans VL '!E12)/100/3.6*1000000</f>
        <v>0</v>
      </c>
      <c r="K6" s="33"/>
      <c r="L6" s="33"/>
      <c r="M6" s="33"/>
      <c r="N6" s="33">
        <f>$C$26*'E Balans VL '!Y12/100/3.6*1000000</f>
        <v>203.5373349098725</v>
      </c>
      <c r="O6" s="33"/>
      <c r="P6" s="33"/>
      <c r="R6" s="32"/>
    </row>
    <row r="7" spans="1:18">
      <c r="A7" s="32" t="s">
        <v>52</v>
      </c>
      <c r="B7" s="37">
        <f t="shared" ref="B7:B12" si="0">B27</f>
        <v>3765.154</v>
      </c>
      <c r="C7" s="33"/>
      <c r="D7" s="37">
        <f>IF(ISERROR(TER_horeca_gas_kWh/1000),0,TER_horeca_gas_kWh/1000)*0.902</f>
        <v>3062.7238620000003</v>
      </c>
      <c r="E7" s="33">
        <f>$C$27*'E Balans VL '!I9/100/3.6*1000000</f>
        <v>206.34240347786505</v>
      </c>
      <c r="F7" s="33">
        <f>$C$27*('E Balans VL '!L9+'E Balans VL '!N9)/100/3.6*1000000</f>
        <v>637.190000634341</v>
      </c>
      <c r="G7" s="34"/>
      <c r="H7" s="33"/>
      <c r="I7" s="33"/>
      <c r="J7" s="33">
        <f>$C$27*('E Balans VL '!D9+'E Balans VL '!E9)/100/3.6*1000000</f>
        <v>0</v>
      </c>
      <c r="K7" s="33"/>
      <c r="L7" s="33"/>
      <c r="M7" s="33"/>
      <c r="N7" s="33">
        <f>$C$27*'E Balans VL '!Y9/100/3.6*1000000</f>
        <v>0</v>
      </c>
      <c r="O7" s="33"/>
      <c r="P7" s="33"/>
      <c r="R7" s="32"/>
    </row>
    <row r="8" spans="1:18">
      <c r="A8" s="6" t="s">
        <v>51</v>
      </c>
      <c r="B8" s="37">
        <f t="shared" si="0"/>
        <v>14148.156000000001</v>
      </c>
      <c r="C8" s="33"/>
      <c r="D8" s="37">
        <f>IF(ISERROR(TER_handel_gas_kWh/1000),0,TER_handel_gas_kWh/1000)*0.902</f>
        <v>7466.4493199999997</v>
      </c>
      <c r="E8" s="33">
        <f>$C$28*'E Balans VL '!I13/100/3.6*1000000</f>
        <v>71.577936993774031</v>
      </c>
      <c r="F8" s="33">
        <f>$C$28*('E Balans VL '!L13+'E Balans VL '!N13)/100/3.6*1000000</f>
        <v>2149.7016483391344</v>
      </c>
      <c r="G8" s="34"/>
      <c r="H8" s="33"/>
      <c r="I8" s="33"/>
      <c r="J8" s="33">
        <f>$C$28*('E Balans VL '!D13+'E Balans VL '!E13)/100/3.6*1000000</f>
        <v>0</v>
      </c>
      <c r="K8" s="33"/>
      <c r="L8" s="33"/>
      <c r="M8" s="33"/>
      <c r="N8" s="33">
        <f>$C$28*'E Balans VL '!Y13/100/3.6*1000000</f>
        <v>6.6160564815810243</v>
      </c>
      <c r="O8" s="33"/>
      <c r="P8" s="33"/>
      <c r="R8" s="32"/>
    </row>
    <row r="9" spans="1:18">
      <c r="A9" s="32" t="s">
        <v>50</v>
      </c>
      <c r="B9" s="37">
        <f t="shared" si="0"/>
        <v>1380.845</v>
      </c>
      <c r="C9" s="33"/>
      <c r="D9" s="37">
        <f>IF(ISERROR(TER_gezond_gas_kWh/1000),0,TER_gezond_gas_kWh/1000)*0.902</f>
        <v>2559.6252440000003</v>
      </c>
      <c r="E9" s="33">
        <f>$C$29*'E Balans VL '!I10/100/3.6*1000000</f>
        <v>0.50213829035150948</v>
      </c>
      <c r="F9" s="33">
        <f>$C$29*('E Balans VL '!L10+'E Balans VL '!N10)/100/3.6*1000000</f>
        <v>298.3632910906025</v>
      </c>
      <c r="G9" s="34"/>
      <c r="H9" s="33"/>
      <c r="I9" s="33"/>
      <c r="J9" s="33">
        <f>$C$29*('E Balans VL '!D10+'E Balans VL '!E10)/100/3.6*1000000</f>
        <v>0</v>
      </c>
      <c r="K9" s="33"/>
      <c r="L9" s="33"/>
      <c r="M9" s="33"/>
      <c r="N9" s="33">
        <f>$C$29*'E Balans VL '!Y10/100/3.6*1000000</f>
        <v>10.469945109792105</v>
      </c>
      <c r="O9" s="33"/>
      <c r="P9" s="33"/>
      <c r="R9" s="32"/>
    </row>
    <row r="10" spans="1:18">
      <c r="A10" s="32" t="s">
        <v>49</v>
      </c>
      <c r="B10" s="37">
        <f t="shared" si="0"/>
        <v>5895.5190000000002</v>
      </c>
      <c r="C10" s="33"/>
      <c r="D10" s="37">
        <f>IF(ISERROR(TER_ander_gas_kWh/1000),0,TER_ander_gas_kWh/1000)*0.902</f>
        <v>3715.0087700000004</v>
      </c>
      <c r="E10" s="33">
        <f>$C$30*'E Balans VL '!I14/100/3.6*1000000</f>
        <v>35.889848700340472</v>
      </c>
      <c r="F10" s="33">
        <f>$C$30*('E Balans VL '!L14+'E Balans VL '!N14)/100/3.6*1000000</f>
        <v>1560.8352774206971</v>
      </c>
      <c r="G10" s="34"/>
      <c r="H10" s="33"/>
      <c r="I10" s="33"/>
      <c r="J10" s="33">
        <f>$C$30*('E Balans VL '!D14+'E Balans VL '!E14)/100/3.6*1000000</f>
        <v>0</v>
      </c>
      <c r="K10" s="33"/>
      <c r="L10" s="33"/>
      <c r="M10" s="33"/>
      <c r="N10" s="33">
        <f>$C$30*'E Balans VL '!Y14/100/3.6*1000000</f>
        <v>1227.8837148507773</v>
      </c>
      <c r="O10" s="33"/>
      <c r="P10" s="33"/>
      <c r="R10" s="32"/>
    </row>
    <row r="11" spans="1:18">
      <c r="A11" s="32" t="s">
        <v>54</v>
      </c>
      <c r="B11" s="37">
        <f t="shared" si="0"/>
        <v>1121.3699999999999</v>
      </c>
      <c r="C11" s="33"/>
      <c r="D11" s="37">
        <f>IF(ISERROR(TER_onderwijs_gas_kWh/1000),0,TER_onderwijs_gas_kWh/1000)*0.902</f>
        <v>2059.1180719999998</v>
      </c>
      <c r="E11" s="33">
        <f>$C$31*'E Balans VL '!I11/100/3.6*1000000</f>
        <v>1.3917172581808743</v>
      </c>
      <c r="F11" s="33">
        <f>$C$31*('E Balans VL '!L11+'E Balans VL '!N11)/100/3.6*1000000</f>
        <v>1321.5932561823915</v>
      </c>
      <c r="G11" s="34"/>
      <c r="H11" s="33"/>
      <c r="I11" s="33"/>
      <c r="J11" s="33">
        <f>$C$31*('E Balans VL '!D11+'E Balans VL '!E11)/100/3.6*1000000</f>
        <v>0</v>
      </c>
      <c r="K11" s="33"/>
      <c r="L11" s="33"/>
      <c r="M11" s="33"/>
      <c r="N11" s="33">
        <f>$C$31*'E Balans VL '!Y11/100/3.6*1000000</f>
        <v>5.3824712676943545</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45</v>
      </c>
      <c r="C13" s="243">
        <f ca="1">'lokale energieproductie'!O38+'lokale energieproductie'!O31</f>
        <v>64.285714285714292</v>
      </c>
      <c r="D13" s="302">
        <f ca="1">('lokale energieproductie'!P31+'lokale energieproductie'!P38)*(-1)</f>
        <v>-128.57142857142858</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39559.486000000004</v>
      </c>
      <c r="C16" s="21">
        <f ca="1">C5+C13+C14</f>
        <v>64.285714285714292</v>
      </c>
      <c r="D16" s="21">
        <f t="shared" ref="D16:N16" ca="1" si="1">MAX((D5+D13+D14),0)</f>
        <v>30466.742705428573</v>
      </c>
      <c r="E16" s="21">
        <f t="shared" si="1"/>
        <v>772.43765494467232</v>
      </c>
      <c r="F16" s="21">
        <f t="shared" ca="1" si="1"/>
        <v>7983.3290951824783</v>
      </c>
      <c r="G16" s="21">
        <f t="shared" si="1"/>
        <v>0</v>
      </c>
      <c r="H16" s="21">
        <f t="shared" si="1"/>
        <v>0</v>
      </c>
      <c r="I16" s="21">
        <f t="shared" si="1"/>
        <v>0</v>
      </c>
      <c r="J16" s="21">
        <f t="shared" si="1"/>
        <v>0</v>
      </c>
      <c r="K16" s="21">
        <f t="shared" si="1"/>
        <v>0</v>
      </c>
      <c r="L16" s="21">
        <f t="shared" ca="1" si="1"/>
        <v>0</v>
      </c>
      <c r="M16" s="21">
        <f t="shared" si="1"/>
        <v>0</v>
      </c>
      <c r="N16" s="21">
        <f t="shared" ca="1" si="1"/>
        <v>1453.8895226197174</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0.20969693596200423</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8295.5030024318039</v>
      </c>
      <c r="C20" s="23">
        <f t="shared" ref="C20:P20" ca="1" si="2">C16*C18</f>
        <v>15.277310924369752</v>
      </c>
      <c r="D20" s="23">
        <f t="shared" ca="1" si="2"/>
        <v>6154.2820264965721</v>
      </c>
      <c r="E20" s="23">
        <f t="shared" si="2"/>
        <v>175.34334767244061</v>
      </c>
      <c r="F20" s="23">
        <f t="shared" ca="1" si="2"/>
        <v>2131.5488684137217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13203.441999999999</v>
      </c>
      <c r="C26" s="39">
        <f>IF(ISERROR(B26*3.6/1000000/'E Balans VL '!Z12*100),0,B26*3.6/1000000/'E Balans VL '!Z12*100)</f>
        <v>0.27457489381212152</v>
      </c>
      <c r="D26" s="233" t="s">
        <v>676</v>
      </c>
      <c r="F26" s="6"/>
    </row>
    <row r="27" spans="1:18">
      <c r="A27" s="228" t="s">
        <v>52</v>
      </c>
      <c r="B27" s="33">
        <f>IF(ISERROR(TER_horeca_ele_kWh/1000),0,TER_horeca_ele_kWh/1000)</f>
        <v>3765.154</v>
      </c>
      <c r="C27" s="39">
        <f>IF(ISERROR(B27*3.6/1000000/'E Balans VL '!Z9*100),0,B27*3.6/1000000/'E Balans VL '!Z9*100)</f>
        <v>0.30968658844115193</v>
      </c>
      <c r="D27" s="233" t="s">
        <v>676</v>
      </c>
      <c r="F27" s="6"/>
    </row>
    <row r="28" spans="1:18">
      <c r="A28" s="168" t="s">
        <v>51</v>
      </c>
      <c r="B28" s="33">
        <f>IF(ISERROR(TER_handel_ele_kWh/1000),0,TER_handel_ele_kWh/1000)</f>
        <v>14148.156000000001</v>
      </c>
      <c r="C28" s="39">
        <f>IF(ISERROR(B28*3.6/1000000/'E Balans VL '!Z13*100),0,B28*3.6/1000000/'E Balans VL '!Z13*100)</f>
        <v>0.3916181921896647</v>
      </c>
      <c r="D28" s="233" t="s">
        <v>676</v>
      </c>
      <c r="F28" s="6"/>
    </row>
    <row r="29" spans="1:18">
      <c r="A29" s="228" t="s">
        <v>50</v>
      </c>
      <c r="B29" s="33">
        <f>IF(ISERROR(TER_gezond_ele_kWh/1000),0,TER_gezond_ele_kWh/1000)</f>
        <v>1380.845</v>
      </c>
      <c r="C29" s="39">
        <f>IF(ISERROR(B29*3.6/1000000/'E Balans VL '!Z10*100),0,B29*3.6/1000000/'E Balans VL '!Z10*100)</f>
        <v>0.15747534956080883</v>
      </c>
      <c r="D29" s="233" t="s">
        <v>676</v>
      </c>
      <c r="F29" s="6"/>
    </row>
    <row r="30" spans="1:18">
      <c r="A30" s="228" t="s">
        <v>49</v>
      </c>
      <c r="B30" s="33">
        <f>IF(ISERROR(TER_ander_ele_kWh/1000),0,TER_ander_ele_kWh/1000)</f>
        <v>5895.5190000000002</v>
      </c>
      <c r="C30" s="39">
        <f>IF(ISERROR(B30*3.6/1000000/'E Balans VL '!Z14*100),0,B30*3.6/1000000/'E Balans VL '!Z14*100)</f>
        <v>0.45632916234634435</v>
      </c>
      <c r="D30" s="233" t="s">
        <v>676</v>
      </c>
      <c r="F30" s="6"/>
    </row>
    <row r="31" spans="1:18">
      <c r="A31" s="228" t="s">
        <v>54</v>
      </c>
      <c r="B31" s="33">
        <f>IF(ISERROR(TER_onderwijs_ele_kWh/1000),0,TER_onderwijs_ele_kWh/1000)</f>
        <v>1121.3699999999999</v>
      </c>
      <c r="C31" s="39">
        <f>IF(ISERROR(B31*3.6/1000000/'E Balans VL '!Z11*100),0,B31*3.6/1000000/'E Balans VL '!Z11*100)</f>
        <v>0.34939768047350561</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41111.575000000012</v>
      </c>
      <c r="C5" s="17">
        <f>IF(ISERROR('Eigen informatie GS &amp; warmtenet'!B59),0,'Eigen informatie GS &amp; warmtenet'!B59)</f>
        <v>0</v>
      </c>
      <c r="D5" s="30">
        <f>SUM(D6:D15)</f>
        <v>33824.626571999994</v>
      </c>
      <c r="E5" s="17">
        <f>SUM(E6:E15)</f>
        <v>773.84445541695663</v>
      </c>
      <c r="F5" s="17">
        <f>SUM(F6:F15)</f>
        <v>9218.3450308162337</v>
      </c>
      <c r="G5" s="18"/>
      <c r="H5" s="17"/>
      <c r="I5" s="17"/>
      <c r="J5" s="17">
        <f>SUM(J6:J15)</f>
        <v>145.50089138655778</v>
      </c>
      <c r="K5" s="17"/>
      <c r="L5" s="17"/>
      <c r="M5" s="17"/>
      <c r="N5" s="17">
        <f>SUM(N6:N15)</f>
        <v>490.55265672971217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4920.5460000000003</v>
      </c>
      <c r="C8" s="33"/>
      <c r="D8" s="37">
        <f>IF( ISERROR(IND_metaal_Gas_kWH/1000),0,IND_metaal_Gas_kWH/1000)*0.902</f>
        <v>9105.4049679999989</v>
      </c>
      <c r="E8" s="33">
        <f>C30*'E Balans VL '!I18/100/3.6*1000000</f>
        <v>34.575591072771346</v>
      </c>
      <c r="F8" s="33">
        <f>C30*'E Balans VL '!L18/100/3.6*1000000+C30*'E Balans VL '!N18/100/3.6*1000000</f>
        <v>540.24716277233665</v>
      </c>
      <c r="G8" s="34"/>
      <c r="H8" s="33"/>
      <c r="I8" s="33"/>
      <c r="J8" s="40">
        <f>C30*'E Balans VL '!D18/100/3.6*1000000+C30*'E Balans VL '!E18/100/3.6*1000000</f>
        <v>101.52146968436418</v>
      </c>
      <c r="K8" s="33"/>
      <c r="L8" s="33"/>
      <c r="M8" s="33"/>
      <c r="N8" s="33">
        <f>C30*'E Balans VL '!Y18/100/3.6*1000000</f>
        <v>18.442560785342817</v>
      </c>
      <c r="O8" s="33"/>
      <c r="P8" s="33"/>
      <c r="R8" s="32"/>
    </row>
    <row r="9" spans="1:18">
      <c r="A9" s="6" t="s">
        <v>32</v>
      </c>
      <c r="B9" s="37">
        <f t="shared" si="0"/>
        <v>4461.6790000000001</v>
      </c>
      <c r="C9" s="33"/>
      <c r="D9" s="37">
        <f>IF( ISERROR(IND_andere_gas_kWh/1000),0,IND_andere_gas_kWh/1000)*0.902</f>
        <v>3122.6274860000003</v>
      </c>
      <c r="E9" s="33">
        <f>C31*'E Balans VL '!I19/100/3.6*1000000</f>
        <v>74.939364536286092</v>
      </c>
      <c r="F9" s="33">
        <f>C31*'E Balans VL '!L19/100/3.6*1000000+C31*'E Balans VL '!N19/100/3.6*1000000</f>
        <v>3487.8865239385545</v>
      </c>
      <c r="G9" s="34"/>
      <c r="H9" s="33"/>
      <c r="I9" s="33"/>
      <c r="J9" s="40">
        <f>C31*'E Balans VL '!D19/100/3.6*1000000+C31*'E Balans VL '!E19/100/3.6*1000000</f>
        <v>0.40240406084210562</v>
      </c>
      <c r="K9" s="33"/>
      <c r="L9" s="33"/>
      <c r="M9" s="33"/>
      <c r="N9" s="33">
        <f>C31*'E Balans VL '!Y19/100/3.6*1000000</f>
        <v>330.68199523772967</v>
      </c>
      <c r="O9" s="33"/>
      <c r="P9" s="33"/>
      <c r="R9" s="32"/>
    </row>
    <row r="10" spans="1:18">
      <c r="A10" s="6" t="s">
        <v>40</v>
      </c>
      <c r="B10" s="37">
        <f t="shared" si="0"/>
        <v>8159.24</v>
      </c>
      <c r="C10" s="33"/>
      <c r="D10" s="37">
        <f>IF( ISERROR(IND_voed_gas_kWh/1000),0,IND_voed_gas_kWh/1000)*0.902</f>
        <v>6991.5012200000001</v>
      </c>
      <c r="E10" s="33">
        <f>C32*'E Balans VL '!I20/100/3.6*1000000</f>
        <v>74.441515187981011</v>
      </c>
      <c r="F10" s="33">
        <f>C32*'E Balans VL '!L20/100/3.6*1000000+C32*'E Balans VL '!N20/100/3.6*1000000</f>
        <v>1316.3406180920197</v>
      </c>
      <c r="G10" s="34"/>
      <c r="H10" s="33"/>
      <c r="I10" s="33"/>
      <c r="J10" s="40">
        <f>C32*'E Balans VL '!D20/100/3.6*1000000+C32*'E Balans VL '!E20/100/3.6*1000000</f>
        <v>33.605099776684888</v>
      </c>
      <c r="K10" s="33"/>
      <c r="L10" s="33"/>
      <c r="M10" s="33"/>
      <c r="N10" s="33">
        <f>C32*'E Balans VL '!Y20/100/3.6*1000000</f>
        <v>119.36324745869018</v>
      </c>
      <c r="O10" s="33"/>
      <c r="P10" s="33"/>
      <c r="R10" s="32"/>
    </row>
    <row r="11" spans="1:18">
      <c r="A11" s="6" t="s">
        <v>39</v>
      </c>
      <c r="B11" s="37">
        <f t="shared" si="0"/>
        <v>333.99</v>
      </c>
      <c r="C11" s="33"/>
      <c r="D11" s="37">
        <f>IF( ISERROR(IND_textiel_gas_kWh/1000),0,IND_textiel_gas_kWh/1000)*0.902</f>
        <v>0</v>
      </c>
      <c r="E11" s="33">
        <f>C33*'E Balans VL '!I21/100/3.6*1000000</f>
        <v>0.76176923750379355</v>
      </c>
      <c r="F11" s="33">
        <f>C33*'E Balans VL '!L21/100/3.6*1000000+C33*'E Balans VL '!N21/100/3.6*1000000</f>
        <v>7.1393460243294218</v>
      </c>
      <c r="G11" s="34"/>
      <c r="H11" s="33"/>
      <c r="I11" s="33"/>
      <c r="J11" s="40">
        <f>C33*'E Balans VL '!D21/100/3.6*1000000+C33*'E Balans VL '!E21/100/3.6*1000000</f>
        <v>0</v>
      </c>
      <c r="K11" s="33"/>
      <c r="L11" s="33"/>
      <c r="M11" s="33"/>
      <c r="N11" s="33">
        <f>C33*'E Balans VL '!Y21/100/3.6*1000000</f>
        <v>2.3692800015607878</v>
      </c>
      <c r="O11" s="33"/>
      <c r="P11" s="33"/>
      <c r="R11" s="32"/>
    </row>
    <row r="12" spans="1:18">
      <c r="A12" s="6" t="s">
        <v>36</v>
      </c>
      <c r="B12" s="37">
        <f t="shared" si="0"/>
        <v>1755.4380000000001</v>
      </c>
      <c r="C12" s="33"/>
      <c r="D12" s="37">
        <f>IF( ISERROR(IND_min_gas_kWh/1000),0,IND_min_gas_kWh/1000)*0.902</f>
        <v>274.35232000000002</v>
      </c>
      <c r="E12" s="33">
        <f>C34*'E Balans VL '!I22/100/3.6*1000000</f>
        <v>43.540569413753687</v>
      </c>
      <c r="F12" s="33">
        <f>C34*'E Balans VL '!L22/100/3.6*1000000+C34*'E Balans VL '!N22/100/3.6*1000000</f>
        <v>186.53209581228529</v>
      </c>
      <c r="G12" s="34"/>
      <c r="H12" s="33"/>
      <c r="I12" s="33"/>
      <c r="J12" s="40">
        <f>C34*'E Balans VL '!D22/100/3.6*1000000+C34*'E Balans VL '!E22/100/3.6*1000000</f>
        <v>9.9719178646666116</v>
      </c>
      <c r="K12" s="33"/>
      <c r="L12" s="33"/>
      <c r="M12" s="33"/>
      <c r="N12" s="33">
        <f>C34*'E Balans VL '!Y22/100/3.6*1000000</f>
        <v>0</v>
      </c>
      <c r="O12" s="33"/>
      <c r="P12" s="33"/>
      <c r="R12" s="32"/>
    </row>
    <row r="13" spans="1:18">
      <c r="A13" s="6" t="s">
        <v>38</v>
      </c>
      <c r="B13" s="37">
        <f t="shared" si="0"/>
        <v>17268.382000000001</v>
      </c>
      <c r="C13" s="33"/>
      <c r="D13" s="37">
        <f>IF( ISERROR(IND_papier_gas_kWh/1000),0,IND_papier_gas_kWh/1000)*0.902</f>
        <v>13185.352113999999</v>
      </c>
      <c r="E13" s="33">
        <f>C35*'E Balans VL '!I23/100/3.6*1000000</f>
        <v>531.30304767671203</v>
      </c>
      <c r="F13" s="33">
        <f>C35*'E Balans VL '!L23/100/3.6*1000000+C35*'E Balans VL '!N23/100/3.6*1000000</f>
        <v>3666.6809928950156</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4212.3</v>
      </c>
      <c r="C14" s="33"/>
      <c r="D14" s="37">
        <f>IF( ISERROR(IND_chemie_gas_kWh/1000),0,IND_chemie_gas_kWh/1000)*0.902</f>
        <v>963.09606799999995</v>
      </c>
      <c r="E14" s="33">
        <f>C36*'E Balans VL '!I24/100/3.6*1000000</f>
        <v>14.282598291948702</v>
      </c>
      <c r="F14" s="33">
        <f>C36*'E Balans VL '!L24/100/3.6*1000000+C36*'E Balans VL '!N24/100/3.6*1000000</f>
        <v>13.51829128169326</v>
      </c>
      <c r="G14" s="34"/>
      <c r="H14" s="33"/>
      <c r="I14" s="33"/>
      <c r="J14" s="40">
        <f>C36*'E Balans VL '!D24/100/3.6*1000000+C36*'E Balans VL '!E24/100/3.6*1000000</f>
        <v>0</v>
      </c>
      <c r="K14" s="33"/>
      <c r="L14" s="33"/>
      <c r="M14" s="33"/>
      <c r="N14" s="33">
        <f>C36*'E Balans VL '!Y24/100/3.6*1000000</f>
        <v>19.69557324638868</v>
      </c>
      <c r="O14" s="33"/>
      <c r="P14" s="33"/>
      <c r="R14" s="32"/>
    </row>
    <row r="15" spans="1:18">
      <c r="A15" s="6" t="s">
        <v>259</v>
      </c>
      <c r="B15" s="37">
        <f t="shared" si="0"/>
        <v>0</v>
      </c>
      <c r="C15" s="33"/>
      <c r="D15" s="37">
        <f>IF( ISERROR(IND_rest_gas_kWh/1000),0,IND_rest_gas_kWh/1000)*0.902</f>
        <v>182.29239600000002</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41111.575000000012</v>
      </c>
      <c r="C18" s="21">
        <f>C5+C16</f>
        <v>0</v>
      </c>
      <c r="D18" s="21">
        <f>MAX((D5+D16),0)</f>
        <v>33824.626571999994</v>
      </c>
      <c r="E18" s="21">
        <f>MAX((E5+E16),0)</f>
        <v>773.84445541695663</v>
      </c>
      <c r="F18" s="21">
        <f>MAX((F5+F16),0)</f>
        <v>9218.3450308162337</v>
      </c>
      <c r="G18" s="21"/>
      <c r="H18" s="21"/>
      <c r="I18" s="21"/>
      <c r="J18" s="21">
        <f>MAX((J5+J16),0)</f>
        <v>145.50089138655778</v>
      </c>
      <c r="K18" s="21"/>
      <c r="L18" s="21">
        <f>MAX((L5+L16),0)</f>
        <v>0</v>
      </c>
      <c r="M18" s="21"/>
      <c r="N18" s="21">
        <f>MAX((N5+N16),0)</f>
        <v>490.55265672971217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0.20969693596200423</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8620.9713100721365</v>
      </c>
      <c r="C22" s="23">
        <f ca="1">C18*C20</f>
        <v>0</v>
      </c>
      <c r="D22" s="23">
        <f>D18*D20</f>
        <v>6832.5745675439994</v>
      </c>
      <c r="E22" s="23">
        <f>E18*E20</f>
        <v>175.66269137964917</v>
      </c>
      <c r="F22" s="23">
        <f>F18*F20</f>
        <v>2461.2981232279344</v>
      </c>
      <c r="G22" s="23"/>
      <c r="H22" s="23"/>
      <c r="I22" s="23"/>
      <c r="J22" s="23">
        <f>J18*J20</f>
        <v>51.507315550841454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4920.5460000000003</v>
      </c>
      <c r="C30" s="39">
        <f>IF(ISERROR(B30*3.6/1000000/'E Balans VL '!Z18*100),0,B30*3.6/1000000/'E Balans VL '!Z18*100)</f>
        <v>0.32756375195717935</v>
      </c>
      <c r="D30" s="233" t="s">
        <v>676</v>
      </c>
    </row>
    <row r="31" spans="1:18">
      <c r="A31" s="6" t="s">
        <v>32</v>
      </c>
      <c r="B31" s="37">
        <f>IF( ISERROR(IND_ander_ele_kWh/1000),0,IND_ander_ele_kWh/1000)</f>
        <v>4461.6790000000001</v>
      </c>
      <c r="C31" s="39">
        <f>IF(ISERROR(B31*3.6/1000000/'E Balans VL '!Z19*100),0,B31*3.6/1000000/'E Balans VL '!Z19*100)</f>
        <v>0.19776854867325327</v>
      </c>
      <c r="D31" s="233" t="s">
        <v>676</v>
      </c>
    </row>
    <row r="32" spans="1:18">
      <c r="A32" s="168" t="s">
        <v>40</v>
      </c>
      <c r="B32" s="37">
        <f>IF( ISERROR(IND_voed_ele_kWh/1000),0,IND_voed_ele_kWh/1000)</f>
        <v>8159.24</v>
      </c>
      <c r="C32" s="39">
        <f>IF(ISERROR(B32*3.6/1000000/'E Balans VL '!Z20*100),0,B32*3.6/1000000/'E Balans VL '!Z20*100)</f>
        <v>0.27254202183025356</v>
      </c>
      <c r="D32" s="233" t="s">
        <v>676</v>
      </c>
    </row>
    <row r="33" spans="1:5">
      <c r="A33" s="168" t="s">
        <v>39</v>
      </c>
      <c r="B33" s="37">
        <f>IF( ISERROR(IND_textiel_ele_kWh/1000),0,IND_textiel_ele_kWh/1000)</f>
        <v>333.99</v>
      </c>
      <c r="C33" s="39">
        <f>IF(ISERROR(B33*3.6/1000000/'E Balans VL '!Z21*100),0,B33*3.6/1000000/'E Balans VL '!Z21*100)</f>
        <v>4.3970553694292383E-2</v>
      </c>
      <c r="D33" s="233" t="s">
        <v>676</v>
      </c>
    </row>
    <row r="34" spans="1:5">
      <c r="A34" s="168" t="s">
        <v>36</v>
      </c>
      <c r="B34" s="37">
        <f>IF( ISERROR(IND_min_ele_kWh/1000),0,IND_min_ele_kWh/1000)</f>
        <v>1755.4380000000001</v>
      </c>
      <c r="C34" s="39">
        <f>IF(ISERROR(B34*3.6/1000000/'E Balans VL '!Z22*100),0,B34*3.6/1000000/'E Balans VL '!Z22*100)</f>
        <v>0.34141340860964736</v>
      </c>
      <c r="D34" s="233" t="s">
        <v>676</v>
      </c>
    </row>
    <row r="35" spans="1:5">
      <c r="A35" s="168" t="s">
        <v>38</v>
      </c>
      <c r="B35" s="37">
        <f>IF( ISERROR(IND_papier_ele_kWh/1000),0,IND_papier_ele_kWh/1000)</f>
        <v>17268.382000000001</v>
      </c>
      <c r="C35" s="39">
        <f>IF(ISERROR(B35*3.6/1000000/'E Balans VL '!Z22*100),0,B35*3.6/1000000/'E Balans VL '!Z22*100)</f>
        <v>3.3585106166059293</v>
      </c>
      <c r="D35" s="233" t="s">
        <v>676</v>
      </c>
    </row>
    <row r="36" spans="1:5">
      <c r="A36" s="168" t="s">
        <v>33</v>
      </c>
      <c r="B36" s="37">
        <f>IF( ISERROR(IND_chemie_ele_kWh/1000),0,IND_chemie_ele_kWh/1000)</f>
        <v>4212.3</v>
      </c>
      <c r="C36" s="39">
        <f>IF(ISERROR(B36*3.6/1000000/'E Balans VL '!Z24*100),0,B36*3.6/1000000/'E Balans VL '!Z24*100)</f>
        <v>9.8916149402055661E-2</v>
      </c>
      <c r="D36" s="233" t="s">
        <v>676</v>
      </c>
    </row>
    <row r="37" spans="1:5">
      <c r="A37" s="168" t="s">
        <v>259</v>
      </c>
      <c r="B37" s="37">
        <f>IF( ISERROR(IND_rest_ele_kWh/1000),0,IND_rest_ele_kWh/1000)</f>
        <v>0</v>
      </c>
      <c r="C37" s="39">
        <f>IF(ISERROR(B37*3.6/1000000/'E Balans VL '!Z15*100),0,B37*3.6/1000000/'E Balans VL '!Z15*100)</f>
        <v>0</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812.85500000000002</v>
      </c>
      <c r="C5" s="17">
        <f>'Eigen informatie GS &amp; warmtenet'!B60</f>
        <v>0</v>
      </c>
      <c r="D5" s="30">
        <f>IF(ISERROR(SUM(LB_lb_gas_kWh,LB_rest_gas_kWh)/1000),0,SUM(LB_lb_gas_kWh,LB_rest_gas_kWh)/1000)*0.902</f>
        <v>514.42052200000001</v>
      </c>
      <c r="E5" s="17">
        <f>B17*'E Balans VL '!I25/3.6*1000000/100</f>
        <v>7.3248549720875369</v>
      </c>
      <c r="F5" s="17">
        <f>B17*('E Balans VL '!L25/3.6*1000000+'E Balans VL '!N25/3.6*1000000)/100</f>
        <v>3045.792476256569</v>
      </c>
      <c r="G5" s="18"/>
      <c r="H5" s="17"/>
      <c r="I5" s="17"/>
      <c r="J5" s="17">
        <f>('E Balans VL '!D25+'E Balans VL '!E25)/3.6*1000000*landbouw!B17/100</f>
        <v>82.257564125594527</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812.85500000000002</v>
      </c>
      <c r="C8" s="21">
        <f>C5+C6</f>
        <v>0</v>
      </c>
      <c r="D8" s="21">
        <f>MAX((D5+D6),0)</f>
        <v>514.42052200000001</v>
      </c>
      <c r="E8" s="21">
        <f>MAX((E5+E6),0)</f>
        <v>7.3248549720875369</v>
      </c>
      <c r="F8" s="21">
        <f>MAX((F5+F6),0)</f>
        <v>3045.792476256569</v>
      </c>
      <c r="G8" s="21"/>
      <c r="H8" s="21"/>
      <c r="I8" s="21"/>
      <c r="J8" s="21">
        <f>MAX((J5+J6),0)</f>
        <v>82.257564125594527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0.20969693596200423</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170.45320288139496</v>
      </c>
      <c r="C12" s="23">
        <f ca="1">C8*C10</f>
        <v>0</v>
      </c>
      <c r="D12" s="23">
        <f>D8*D10</f>
        <v>103.912945444</v>
      </c>
      <c r="E12" s="23">
        <f>E8*E10</f>
        <v>1.6627420786638709</v>
      </c>
      <c r="F12" s="23">
        <f>F8*F10</f>
        <v>813.22659116050397</v>
      </c>
      <c r="G12" s="23"/>
      <c r="H12" s="23"/>
      <c r="I12" s="23"/>
      <c r="J12" s="23">
        <f>J8*J10</f>
        <v>29.119177700460462</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0.12511407550117251</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64.3579288199346</v>
      </c>
      <c r="C26" s="243">
        <f>B26*'GWP N2O_CH4'!B5</f>
        <v>1351.5165052186267</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35.663592358833547</v>
      </c>
      <c r="C27" s="243">
        <f>B27*'GWP N2O_CH4'!B5</f>
        <v>748.93543953550454</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1.0116226813351488</v>
      </c>
      <c r="C28" s="243">
        <f>B28*'GWP N2O_CH4'!B4</f>
        <v>313.60303121389614</v>
      </c>
      <c r="D28" s="50"/>
    </row>
    <row r="29" spans="1:4">
      <c r="A29" s="41" t="s">
        <v>266</v>
      </c>
      <c r="B29" s="243">
        <f>B34*'ha_N2O bodem landbouw'!B4</f>
        <v>11.287734072017164</v>
      </c>
      <c r="C29" s="243">
        <f>B29*'GWP N2O_CH4'!B4</f>
        <v>3499.1975623253211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2.9306458423785367E-3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1.0342584802475026E-5</v>
      </c>
      <c r="C5" s="431" t="s">
        <v>204</v>
      </c>
      <c r="D5" s="416">
        <f>SUM(D6:D11)</f>
        <v>3.7890580155548722E-5</v>
      </c>
      <c r="E5" s="416">
        <f>SUM(E6:E11)</f>
        <v>4.0881946165016638E-3</v>
      </c>
      <c r="F5" s="429" t="s">
        <v>204</v>
      </c>
      <c r="G5" s="416">
        <f>SUM(G6:G11)</f>
        <v>0.74113704518396795</v>
      </c>
      <c r="H5" s="416">
        <f>SUM(H6:H11)</f>
        <v>0.13109266060399924</v>
      </c>
      <c r="I5" s="431" t="s">
        <v>204</v>
      </c>
      <c r="J5" s="431" t="s">
        <v>204</v>
      </c>
      <c r="K5" s="431" t="s">
        <v>204</v>
      </c>
      <c r="L5" s="431" t="s">
        <v>204</v>
      </c>
      <c r="M5" s="416">
        <f>SUM(M6:M11)</f>
        <v>3.7961121964013279E-2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3.4266913416913322E-6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1.0816271943734873E-5</v>
      </c>
      <c r="E6" s="419">
        <f>vkm_GW_PW*SUMIFS(TableVerdeelsleutelVkm[LPG],TableVerdeelsleutelVkm[Voertuigtype],"Lichte voertuigen")*SUMIFS(TableECFTransport[EnergieConsumptieFactor (PJ per km)],TableECFTransport[Index],CONCATENATE($A6,"_LPG_LPG"))</f>
        <v>1.1233613737967388E-3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0.149949076307031</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3.7660746149577443E-2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8.1930214868784126E-3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8.5311339165601427E-8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3.8456263960002672E-2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1.1315507047189374E-6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1.6567160012458692E-3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3.1357342678454496E-6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1.6787610439771526E-5</v>
      </c>
      <c r="E8" s="419">
        <f>vkm_NGW_PW*SUMIFS(TableVerdeelsleutelVkm[LPG],TableVerdeelsleutelVkm[Voertuigtype],"Lichte voertuigen")*SUMIFS(TableECFTransport[EnergieConsumptieFactor (PJ per km)],TableECFTransport[Index],CONCATENATE($A8,"_LPG_LPG"))</f>
        <v>1.6409912974429544E-3</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0.2083728422765371</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5.5205600751995917E-2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1.1517372584428696E-2</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4.1661122353170464E-8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2.6012992321388036E-2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6.6698285757042576E-7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1.1206488088072804E-3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3.2986506857880498E-6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1.0286697772042325E-5</v>
      </c>
      <c r="E10" s="419">
        <f>vkm_SW_PW*SUMIFS(TableVerdeelsleutelVkm[LPG],TableVerdeelsleutelVkm[Voertuigtype],"Lichte voertuigen")*SUMIFS(TableECFTransport[EnergieConsumptieFactor (PJ per km)],TableECFTransport[Index],CONCATENATE($A10,"_LPG_LPG"))</f>
        <v>1.3238419452619706E-3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0.16413658710355769</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3.8219675026944268E-2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8.8299324322761562E-3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3.5453604563142103E-7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0.15420928321545146</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4.8401419193150426E-6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6.6434306503768631E-3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2.8729402229097296</v>
      </c>
      <c r="C14" s="21"/>
      <c r="D14" s="21">
        <f t="shared" ref="D14:M14" si="0">((D5)*10^9/3600)+D12</f>
        <v>10.525161154319088</v>
      </c>
      <c r="E14" s="21">
        <f t="shared" si="0"/>
        <v>1135.6096156949066</v>
      </c>
      <c r="F14" s="21"/>
      <c r="G14" s="21">
        <f t="shared" si="0"/>
        <v>205871.40143999111</v>
      </c>
      <c r="H14" s="21">
        <f t="shared" si="0"/>
        <v>36414.627945555345</v>
      </c>
      <c r="I14" s="21"/>
      <c r="J14" s="21"/>
      <c r="K14" s="21"/>
      <c r="L14" s="21"/>
      <c r="M14" s="21">
        <f t="shared" si="0"/>
        <v>10544.756101114799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0.20969693596200423</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0.60244676194616775</v>
      </c>
      <c r="C18" s="23"/>
      <c r="D18" s="23">
        <f t="shared" ref="D18:M18" si="1">D14*D16</f>
        <v>2.1260825531724561</v>
      </c>
      <c r="E18" s="23">
        <f t="shared" si="1"/>
        <v>257.78338276274377</v>
      </c>
      <c r="F18" s="23"/>
      <c r="G18" s="23">
        <f t="shared" si="1"/>
        <v>54967.664184477631</v>
      </c>
      <c r="H18" s="23">
        <f t="shared" si="1"/>
        <v>9067.24235844328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6.3104675171511213E-5</v>
      </c>
      <c r="C50" s="313">
        <f t="shared" ref="C50:P50" si="2">SUM(C51:C52)</f>
        <v>0</v>
      </c>
      <c r="D50" s="313">
        <f t="shared" si="2"/>
        <v>0</v>
      </c>
      <c r="E50" s="313">
        <f t="shared" si="2"/>
        <v>0</v>
      </c>
      <c r="F50" s="313">
        <f t="shared" si="2"/>
        <v>0</v>
      </c>
      <c r="G50" s="313">
        <f t="shared" si="2"/>
        <v>1.3689925716459141E-2</v>
      </c>
      <c r="H50" s="313">
        <f t="shared" si="2"/>
        <v>0</v>
      </c>
      <c r="I50" s="313">
        <f t="shared" si="2"/>
        <v>0</v>
      </c>
      <c r="J50" s="313">
        <f t="shared" si="2"/>
        <v>0</v>
      </c>
      <c r="K50" s="313">
        <f t="shared" si="2"/>
        <v>0</v>
      </c>
      <c r="L50" s="313">
        <f t="shared" si="2"/>
        <v>0</v>
      </c>
      <c r="M50" s="313">
        <f t="shared" si="2"/>
        <v>5.8615003276493239E-4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6.3104675171511213E-5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1.3689925716459141E-2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5.8615003276493239E-4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17.529076436530893</v>
      </c>
      <c r="C54" s="21">
        <f t="shared" ref="C54:P54" si="3">(C50)*10^9/3600</f>
        <v>0</v>
      </c>
      <c r="D54" s="21">
        <f t="shared" si="3"/>
        <v>0</v>
      </c>
      <c r="E54" s="21">
        <f t="shared" si="3"/>
        <v>0</v>
      </c>
      <c r="F54" s="21">
        <f t="shared" si="3"/>
        <v>0</v>
      </c>
      <c r="G54" s="21">
        <f t="shared" si="3"/>
        <v>3802.7571434608722</v>
      </c>
      <c r="H54" s="21">
        <f t="shared" si="3"/>
        <v>0</v>
      </c>
      <c r="I54" s="21">
        <f t="shared" si="3"/>
        <v>0</v>
      </c>
      <c r="J54" s="21">
        <f t="shared" si="3"/>
        <v>0</v>
      </c>
      <c r="K54" s="21">
        <f t="shared" si="3"/>
        <v>0</v>
      </c>
      <c r="L54" s="21">
        <f t="shared" si="3"/>
        <v>0</v>
      </c>
      <c r="M54" s="21">
        <f t="shared" si="3"/>
        <v>162.81945354581455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0.20969693596200423</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3.6757936189842959</v>
      </c>
      <c r="C58" s="23">
        <f t="shared" ref="C58:P58" ca="1" si="4">C54*C56</f>
        <v>0</v>
      </c>
      <c r="D58" s="23">
        <f t="shared" si="4"/>
        <v>0</v>
      </c>
      <c r="E58" s="23">
        <f t="shared" si="4"/>
        <v>0</v>
      </c>
      <c r="F58" s="23">
        <f t="shared" si="4"/>
        <v>0</v>
      </c>
      <c r="G58" s="23">
        <f t="shared" si="4"/>
        <v>1015.3361573040529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8412.5167076808739</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45</v>
      </c>
      <c r="C8" s="542">
        <f>B48</f>
        <v>52.941176470588239</v>
      </c>
      <c r="D8" s="920"/>
      <c r="E8" s="920">
        <f>E48</f>
        <v>0</v>
      </c>
      <c r="F8" s="921"/>
      <c r="G8" s="543"/>
      <c r="H8" s="920">
        <f>I48</f>
        <v>0</v>
      </c>
      <c r="I8" s="920">
        <f>G48+F48</f>
        <v>0</v>
      </c>
      <c r="J8" s="920">
        <f>H48+D48+C48</f>
        <v>0</v>
      </c>
      <c r="K8" s="920"/>
      <c r="L8" s="920"/>
      <c r="M8" s="920"/>
      <c r="N8" s="544"/>
      <c r="O8" s="545">
        <f>C8*$C$12+D8*$D$12+E8*$E$12+F8*$F$12+G8*$G$12+H8*$H$12+I8*$I$12+J8*$J$12</f>
        <v>10.694117647058825</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8457.5167076808739</v>
      </c>
      <c r="C10" s="554">
        <f t="shared" ref="C10:L10" si="0">SUM(C8:C9)</f>
        <v>52.941176470588239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10.694117647058825</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64.285714285714292</v>
      </c>
      <c r="C17" s="566">
        <f>B49</f>
        <v>75.630252100840352</v>
      </c>
      <c r="D17" s="567"/>
      <c r="E17" s="567">
        <f>E49</f>
        <v>0</v>
      </c>
      <c r="F17" s="568"/>
      <c r="G17" s="569"/>
      <c r="H17" s="566">
        <f>I49</f>
        <v>0</v>
      </c>
      <c r="I17" s="567">
        <f>G49+F49</f>
        <v>0</v>
      </c>
      <c r="J17" s="567">
        <f>H49+D49+C49</f>
        <v>0</v>
      </c>
      <c r="K17" s="567"/>
      <c r="L17" s="567"/>
      <c r="M17" s="567"/>
      <c r="N17" s="916"/>
      <c r="O17" s="570">
        <f>C17*$C$22+E17*$E$22+H17*$H$22+I17*$I$22+J17*$J$22+D17*$D$22+F17*$F$22+G17*$G$22+K17*$K$22+L17*$L$22</f>
        <v>15.277310924369752</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64.285714285714292</v>
      </c>
      <c r="C20" s="553">
        <f>SUM(C17:C19)</f>
        <v>75.630252100840352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15.277310924369752</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63.75" hidden="1">
      <c r="A28" s="578"/>
      <c r="B28" s="736">
        <v>71004</v>
      </c>
      <c r="C28" s="736">
        <v>3583</v>
      </c>
      <c r="D28" s="626"/>
      <c r="E28" s="625"/>
      <c r="F28" s="625"/>
      <c r="G28" s="625" t="s">
        <v>962</v>
      </c>
      <c r="H28" s="625" t="s">
        <v>963</v>
      </c>
      <c r="I28" s="625"/>
      <c r="J28" s="735"/>
      <c r="K28" s="735"/>
      <c r="L28" s="625" t="s">
        <v>964</v>
      </c>
      <c r="M28" s="625">
        <v>10</v>
      </c>
      <c r="N28" s="625">
        <v>45</v>
      </c>
      <c r="O28" s="625">
        <v>64.285714285714292</v>
      </c>
      <c r="P28" s="625">
        <v>128.57142857142858</v>
      </c>
      <c r="Q28" s="625">
        <v>0</v>
      </c>
      <c r="R28" s="625">
        <v>0</v>
      </c>
      <c r="S28" s="625">
        <v>0</v>
      </c>
      <c r="T28" s="625">
        <v>0</v>
      </c>
      <c r="U28" s="625">
        <v>0</v>
      </c>
      <c r="V28" s="625">
        <v>0</v>
      </c>
      <c r="W28" s="625">
        <v>0</v>
      </c>
      <c r="X28" s="625"/>
      <c r="Y28" s="625">
        <v>1600</v>
      </c>
      <c r="Z28" s="625" t="s">
        <v>49</v>
      </c>
      <c r="AA28" s="627" t="s">
        <v>149</v>
      </c>
    </row>
    <row r="29" spans="1:27" s="561" customFormat="1" hidden="1">
      <c r="A29" s="581" t="s">
        <v>269</v>
      </c>
      <c r="B29" s="582"/>
      <c r="C29" s="582"/>
      <c r="D29" s="582"/>
      <c r="E29" s="582"/>
      <c r="F29" s="582"/>
      <c r="G29" s="582"/>
      <c r="H29" s="582"/>
      <c r="I29" s="582"/>
      <c r="J29" s="582"/>
      <c r="K29" s="582"/>
      <c r="L29" s="583"/>
      <c r="M29" s="583">
        <f>SUM(M28:M28)</f>
        <v>10</v>
      </c>
      <c r="N29" s="583">
        <f>SUM(N28:N28)</f>
        <v>45</v>
      </c>
      <c r="O29" s="583">
        <f>SUM(O28:O28)</f>
        <v>64.285714285714292</v>
      </c>
      <c r="P29" s="583">
        <f>SUM(P28:P28)</f>
        <v>128.57142857142858</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10</v>
      </c>
      <c r="N31" s="583">
        <f ca="1">SUMIF($AA$28:AE28,"tertiair",N28:N28)</f>
        <v>45</v>
      </c>
      <c r="O31" s="583">
        <f ca="1">SUMIF($AA$28:AF28,"tertiair",O28:O28)</f>
        <v>64.285714285714292</v>
      </c>
      <c r="P31" s="583">
        <f ca="1">SUMIF($AA$28:AG28,"tertiair",P28:P28)</f>
        <v>128.57142857142858</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0.58823529411764708</v>
      </c>
      <c r="C45" s="608">
        <f>IF(ISERROR(N29/(O29+N29)),0,N29/(N29+O29))</f>
        <v>0.41176470588235292</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52.941176470588239</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75.630252100840352</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41665.216000000008</v>
      </c>
      <c r="D10" s="635">
        <f ca="1">tertiair!C16</f>
        <v>64.285714285714292</v>
      </c>
      <c r="E10" s="635">
        <f ca="1">tertiair!D16</f>
        <v>30466.742705428573</v>
      </c>
      <c r="F10" s="635">
        <f>tertiair!E16</f>
        <v>772.43765494467232</v>
      </c>
      <c r="G10" s="635">
        <f ca="1">tertiair!F16</f>
        <v>7983.3290951824783</v>
      </c>
      <c r="H10" s="635">
        <f>tertiair!G16</f>
        <v>0</v>
      </c>
      <c r="I10" s="635">
        <f>tertiair!H16</f>
        <v>0</v>
      </c>
      <c r="J10" s="635">
        <f>tertiair!I16</f>
        <v>0</v>
      </c>
      <c r="K10" s="635">
        <f>tertiair!J16</f>
        <v>0</v>
      </c>
      <c r="L10" s="635">
        <f>tertiair!K16</f>
        <v>0</v>
      </c>
      <c r="M10" s="635">
        <f ca="1">tertiair!L16</f>
        <v>0</v>
      </c>
      <c r="N10" s="635">
        <f>tertiair!M16</f>
        <v>0</v>
      </c>
      <c r="O10" s="635">
        <f ca="1">tertiair!N16</f>
        <v>1453.8895226197174</v>
      </c>
      <c r="P10" s="635">
        <f>tertiair!O16</f>
        <v>1.5633333333333335</v>
      </c>
      <c r="Q10" s="636">
        <f>tertiair!P16</f>
        <v>19.066666666666666</v>
      </c>
      <c r="R10" s="638">
        <f ca="1">SUM(C10:Q10)</f>
        <v>82426.530692461165</v>
      </c>
      <c r="S10" s="67"/>
    </row>
    <row r="11" spans="1:19" s="441" customFormat="1">
      <c r="A11" s="749" t="s">
        <v>214</v>
      </c>
      <c r="B11" s="754"/>
      <c r="C11" s="635">
        <f>huishoudens!B8</f>
        <v>74387.799690541549</v>
      </c>
      <c r="D11" s="635">
        <f>huishoudens!C8</f>
        <v>0</v>
      </c>
      <c r="E11" s="635">
        <f>huishoudens!D8</f>
        <v>110562.242296</v>
      </c>
      <c r="F11" s="635">
        <f>huishoudens!E8</f>
        <v>4618.7715428286638</v>
      </c>
      <c r="G11" s="635">
        <f>huishoudens!F8</f>
        <v>157658.97522053708</v>
      </c>
      <c r="H11" s="635">
        <f>huishoudens!G8</f>
        <v>0</v>
      </c>
      <c r="I11" s="635">
        <f>huishoudens!H8</f>
        <v>0</v>
      </c>
      <c r="J11" s="635">
        <f>huishoudens!I8</f>
        <v>0</v>
      </c>
      <c r="K11" s="635">
        <f>huishoudens!J8</f>
        <v>3550.0804111873367</v>
      </c>
      <c r="L11" s="635">
        <f>huishoudens!K8</f>
        <v>0</v>
      </c>
      <c r="M11" s="635">
        <f>huishoudens!L8</f>
        <v>0</v>
      </c>
      <c r="N11" s="635">
        <f>huishoudens!M8</f>
        <v>0</v>
      </c>
      <c r="O11" s="635">
        <f>huishoudens!N8</f>
        <v>20817.315810412321</v>
      </c>
      <c r="P11" s="635">
        <f>huishoudens!O8</f>
        <v>204.79666666666668</v>
      </c>
      <c r="Q11" s="636">
        <f>huishoudens!P8</f>
        <v>610.13333333333333</v>
      </c>
      <c r="R11" s="638">
        <f>SUM(C11:Q11)</f>
        <v>372410.11497150699</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41111.575000000012</v>
      </c>
      <c r="D13" s="635">
        <f>industrie!C18</f>
        <v>0</v>
      </c>
      <c r="E13" s="635">
        <f>industrie!D18</f>
        <v>33824.626571999994</v>
      </c>
      <c r="F13" s="635">
        <f>industrie!E18</f>
        <v>773.84445541695663</v>
      </c>
      <c r="G13" s="635">
        <f>industrie!F18</f>
        <v>9218.3450308162337</v>
      </c>
      <c r="H13" s="635">
        <f>industrie!G18</f>
        <v>0</v>
      </c>
      <c r="I13" s="635">
        <f>industrie!H18</f>
        <v>0</v>
      </c>
      <c r="J13" s="635">
        <f>industrie!I18</f>
        <v>0</v>
      </c>
      <c r="K13" s="635">
        <f>industrie!J18</f>
        <v>145.50089138655778</v>
      </c>
      <c r="L13" s="635">
        <f>industrie!K18</f>
        <v>0</v>
      </c>
      <c r="M13" s="635">
        <f>industrie!L18</f>
        <v>0</v>
      </c>
      <c r="N13" s="635">
        <f>industrie!M18</f>
        <v>0</v>
      </c>
      <c r="O13" s="635">
        <f>industrie!N18</f>
        <v>490.55265672971217</v>
      </c>
      <c r="P13" s="635">
        <f>industrie!O18</f>
        <v>0</v>
      </c>
      <c r="Q13" s="636">
        <f>industrie!P18</f>
        <v>0</v>
      </c>
      <c r="R13" s="638">
        <f>SUM(C13:Q13)</f>
        <v>85564.444606349454</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157164.59069054158</v>
      </c>
      <c r="D16" s="668">
        <f t="shared" ref="D16:R16" ca="1" si="0">SUM(D9:D15)</f>
        <v>64.285714285714292</v>
      </c>
      <c r="E16" s="668">
        <f t="shared" ca="1" si="0"/>
        <v>174853.61157342856</v>
      </c>
      <c r="F16" s="668">
        <f t="shared" si="0"/>
        <v>6165.0536531902926</v>
      </c>
      <c r="G16" s="668">
        <f t="shared" ca="1" si="0"/>
        <v>174860.64934653579</v>
      </c>
      <c r="H16" s="668">
        <f t="shared" si="0"/>
        <v>0</v>
      </c>
      <c r="I16" s="668">
        <f t="shared" si="0"/>
        <v>0</v>
      </c>
      <c r="J16" s="668">
        <f t="shared" si="0"/>
        <v>0</v>
      </c>
      <c r="K16" s="668">
        <f t="shared" si="0"/>
        <v>3695.5813025738944</v>
      </c>
      <c r="L16" s="668">
        <f t="shared" si="0"/>
        <v>0</v>
      </c>
      <c r="M16" s="668">
        <f t="shared" ca="1" si="0"/>
        <v>0</v>
      </c>
      <c r="N16" s="668">
        <f t="shared" si="0"/>
        <v>0</v>
      </c>
      <c r="O16" s="668">
        <f t="shared" ca="1" si="0"/>
        <v>22761.757989761751</v>
      </c>
      <c r="P16" s="668">
        <f t="shared" si="0"/>
        <v>206.36</v>
      </c>
      <c r="Q16" s="668">
        <f t="shared" si="0"/>
        <v>629.20000000000005</v>
      </c>
      <c r="R16" s="668">
        <f t="shared" ca="1" si="0"/>
        <v>540401.09027031763</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17.529076436530893</v>
      </c>
      <c r="D19" s="635">
        <f>transport!C54</f>
        <v>0</v>
      </c>
      <c r="E19" s="635">
        <f>transport!D54</f>
        <v>0</v>
      </c>
      <c r="F19" s="635">
        <f>transport!E54</f>
        <v>0</v>
      </c>
      <c r="G19" s="635">
        <f>transport!F54</f>
        <v>0</v>
      </c>
      <c r="H19" s="635">
        <f>transport!G54</f>
        <v>3802.7571434608722</v>
      </c>
      <c r="I19" s="635">
        <f>transport!H54</f>
        <v>0</v>
      </c>
      <c r="J19" s="635">
        <f>transport!I54</f>
        <v>0</v>
      </c>
      <c r="K19" s="635">
        <f>transport!J54</f>
        <v>0</v>
      </c>
      <c r="L19" s="635">
        <f>transport!K54</f>
        <v>0</v>
      </c>
      <c r="M19" s="635">
        <f>transport!L54</f>
        <v>0</v>
      </c>
      <c r="N19" s="635">
        <f>transport!M54</f>
        <v>162.81945354581455</v>
      </c>
      <c r="O19" s="635">
        <f>transport!N54</f>
        <v>0</v>
      </c>
      <c r="P19" s="635">
        <f>transport!O54</f>
        <v>0</v>
      </c>
      <c r="Q19" s="636">
        <f>transport!P54</f>
        <v>0</v>
      </c>
      <c r="R19" s="638">
        <f>SUM(C19:Q19)</f>
        <v>3983.1056734432177</v>
      </c>
      <c r="S19" s="67"/>
    </row>
    <row r="20" spans="1:19" s="441" customFormat="1">
      <c r="A20" s="749" t="s">
        <v>296</v>
      </c>
      <c r="B20" s="754"/>
      <c r="C20" s="635">
        <f>transport!B14</f>
        <v>2.8729402229097296</v>
      </c>
      <c r="D20" s="635">
        <f>transport!C14</f>
        <v>0</v>
      </c>
      <c r="E20" s="635">
        <f>transport!D14</f>
        <v>10.525161154319088</v>
      </c>
      <c r="F20" s="635">
        <f>transport!E14</f>
        <v>1135.6096156949066</v>
      </c>
      <c r="G20" s="635">
        <f>transport!F14</f>
        <v>0</v>
      </c>
      <c r="H20" s="635">
        <f>transport!G14</f>
        <v>205871.40143999111</v>
      </c>
      <c r="I20" s="635">
        <f>transport!H14</f>
        <v>36414.627945555345</v>
      </c>
      <c r="J20" s="635">
        <f>transport!I14</f>
        <v>0</v>
      </c>
      <c r="K20" s="635">
        <f>transport!J14</f>
        <v>0</v>
      </c>
      <c r="L20" s="635">
        <f>transport!K14</f>
        <v>0</v>
      </c>
      <c r="M20" s="635">
        <f>transport!L14</f>
        <v>0</v>
      </c>
      <c r="N20" s="635">
        <f>transport!M14</f>
        <v>10544.756101114799</v>
      </c>
      <c r="O20" s="635">
        <f>transport!N14</f>
        <v>0</v>
      </c>
      <c r="P20" s="635">
        <f>transport!O14</f>
        <v>0</v>
      </c>
      <c r="Q20" s="636">
        <f>transport!P14</f>
        <v>0</v>
      </c>
      <c r="R20" s="638">
        <f>SUM(C20:Q20)</f>
        <v>253979.7932037334</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20.402016659440623</v>
      </c>
      <c r="D22" s="752">
        <f t="shared" ref="D22:R22" si="1">SUM(D18:D21)</f>
        <v>0</v>
      </c>
      <c r="E22" s="752">
        <f t="shared" si="1"/>
        <v>10.525161154319088</v>
      </c>
      <c r="F22" s="752">
        <f t="shared" si="1"/>
        <v>1135.6096156949066</v>
      </c>
      <c r="G22" s="752">
        <f t="shared" si="1"/>
        <v>0</v>
      </c>
      <c r="H22" s="752">
        <f t="shared" si="1"/>
        <v>209674.15858345199</v>
      </c>
      <c r="I22" s="752">
        <f t="shared" si="1"/>
        <v>36414.627945555345</v>
      </c>
      <c r="J22" s="752">
        <f t="shared" si="1"/>
        <v>0</v>
      </c>
      <c r="K22" s="752">
        <f t="shared" si="1"/>
        <v>0</v>
      </c>
      <c r="L22" s="752">
        <f t="shared" si="1"/>
        <v>0</v>
      </c>
      <c r="M22" s="752">
        <f t="shared" si="1"/>
        <v>0</v>
      </c>
      <c r="N22" s="752">
        <f t="shared" si="1"/>
        <v>10707.575554660614</v>
      </c>
      <c r="O22" s="752">
        <f t="shared" si="1"/>
        <v>0</v>
      </c>
      <c r="P22" s="752">
        <f t="shared" si="1"/>
        <v>0</v>
      </c>
      <c r="Q22" s="752">
        <f t="shared" si="1"/>
        <v>0</v>
      </c>
      <c r="R22" s="752">
        <f t="shared" si="1"/>
        <v>257962.8988771766</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812.85500000000002</v>
      </c>
      <c r="D24" s="635">
        <f>+landbouw!C8</f>
        <v>0</v>
      </c>
      <c r="E24" s="635">
        <f>+landbouw!D8</f>
        <v>514.42052200000001</v>
      </c>
      <c r="F24" s="635">
        <f>+landbouw!E8</f>
        <v>7.3248549720875369</v>
      </c>
      <c r="G24" s="635">
        <f>+landbouw!F8</f>
        <v>3045.792476256569</v>
      </c>
      <c r="H24" s="635">
        <f>+landbouw!G8</f>
        <v>0</v>
      </c>
      <c r="I24" s="635">
        <f>+landbouw!H8</f>
        <v>0</v>
      </c>
      <c r="J24" s="635">
        <f>+landbouw!I8</f>
        <v>0</v>
      </c>
      <c r="K24" s="635">
        <f>+landbouw!J8</f>
        <v>82.257564125594527</v>
      </c>
      <c r="L24" s="635">
        <f>+landbouw!K8</f>
        <v>0</v>
      </c>
      <c r="M24" s="635">
        <f>+landbouw!L8</f>
        <v>0</v>
      </c>
      <c r="N24" s="635">
        <f>+landbouw!M8</f>
        <v>0</v>
      </c>
      <c r="O24" s="635">
        <f>+landbouw!N8</f>
        <v>0</v>
      </c>
      <c r="P24" s="635">
        <f>+landbouw!O8</f>
        <v>0</v>
      </c>
      <c r="Q24" s="636">
        <f>+landbouw!P8</f>
        <v>0</v>
      </c>
      <c r="R24" s="638">
        <f>SUM(C24:Q24)</f>
        <v>4462.6504173542507</v>
      </c>
      <c r="S24" s="67"/>
    </row>
    <row r="25" spans="1:19" s="441" customFormat="1" ht="15" thickBot="1">
      <c r="A25" s="771" t="s">
        <v>864</v>
      </c>
      <c r="B25" s="923"/>
      <c r="C25" s="924">
        <f>IF(Onbekend_ele_kWh="---",0,Onbekend_ele_kWh)/1000+IF(REST_rest_ele_kWh="---",0,REST_rest_ele_kWh)/1000</f>
        <v>6419.2579999999998</v>
      </c>
      <c r="D25" s="924"/>
      <c r="E25" s="924">
        <f>IF(onbekend_gas_kWh="---",0,onbekend_gas_kWh)/1000+IF(REST_rest_gas_kWh="---",0,REST_rest_gas_kWh)/1000</f>
        <v>4817.3209999999999</v>
      </c>
      <c r="F25" s="924"/>
      <c r="G25" s="924"/>
      <c r="H25" s="924"/>
      <c r="I25" s="924"/>
      <c r="J25" s="924"/>
      <c r="K25" s="924"/>
      <c r="L25" s="924"/>
      <c r="M25" s="924"/>
      <c r="N25" s="924"/>
      <c r="O25" s="924"/>
      <c r="P25" s="924"/>
      <c r="Q25" s="925"/>
      <c r="R25" s="638">
        <f>SUM(C25:Q25)</f>
        <v>11236.579</v>
      </c>
      <c r="S25" s="67"/>
    </row>
    <row r="26" spans="1:19" s="441" customFormat="1" ht="15.75" thickBot="1">
      <c r="A26" s="641" t="s">
        <v>865</v>
      </c>
      <c r="B26" s="757"/>
      <c r="C26" s="752">
        <f>SUM(C24:C25)</f>
        <v>7232.1129999999994</v>
      </c>
      <c r="D26" s="752">
        <f t="shared" ref="D26:R26" si="2">SUM(D24:D25)</f>
        <v>0</v>
      </c>
      <c r="E26" s="752">
        <f t="shared" si="2"/>
        <v>5331.7415220000003</v>
      </c>
      <c r="F26" s="752">
        <f t="shared" si="2"/>
        <v>7.3248549720875369</v>
      </c>
      <c r="G26" s="752">
        <f t="shared" si="2"/>
        <v>3045.792476256569</v>
      </c>
      <c r="H26" s="752">
        <f t="shared" si="2"/>
        <v>0</v>
      </c>
      <c r="I26" s="752">
        <f t="shared" si="2"/>
        <v>0</v>
      </c>
      <c r="J26" s="752">
        <f t="shared" si="2"/>
        <v>0</v>
      </c>
      <c r="K26" s="752">
        <f t="shared" si="2"/>
        <v>82.257564125594527</v>
      </c>
      <c r="L26" s="752">
        <f t="shared" si="2"/>
        <v>0</v>
      </c>
      <c r="M26" s="752">
        <f t="shared" si="2"/>
        <v>0</v>
      </c>
      <c r="N26" s="752">
        <f t="shared" si="2"/>
        <v>0</v>
      </c>
      <c r="O26" s="752">
        <f t="shared" si="2"/>
        <v>0</v>
      </c>
      <c r="P26" s="752">
        <f t="shared" si="2"/>
        <v>0</v>
      </c>
      <c r="Q26" s="752">
        <f t="shared" si="2"/>
        <v>0</v>
      </c>
      <c r="R26" s="752">
        <f t="shared" si="2"/>
        <v>15699.22941735425</v>
      </c>
      <c r="S26" s="67"/>
    </row>
    <row r="27" spans="1:19" s="441" customFormat="1" ht="17.25" thickTop="1" thickBot="1">
      <c r="A27" s="642" t="s">
        <v>109</v>
      </c>
      <c r="B27" s="744"/>
      <c r="C27" s="643">
        <f ca="1">C22+C16+C26</f>
        <v>164417.10570720103</v>
      </c>
      <c r="D27" s="643">
        <f t="shared" ref="D27:R27" ca="1" si="3">D22+D16+D26</f>
        <v>64.285714285714292</v>
      </c>
      <c r="E27" s="643">
        <f t="shared" ca="1" si="3"/>
        <v>180195.87825658286</v>
      </c>
      <c r="F27" s="643">
        <f t="shared" si="3"/>
        <v>7307.9881238572862</v>
      </c>
      <c r="G27" s="643">
        <f t="shared" ca="1" si="3"/>
        <v>177906.44182279237</v>
      </c>
      <c r="H27" s="643">
        <f t="shared" si="3"/>
        <v>209674.15858345199</v>
      </c>
      <c r="I27" s="643">
        <f t="shared" si="3"/>
        <v>36414.627945555345</v>
      </c>
      <c r="J27" s="643">
        <f t="shared" si="3"/>
        <v>0</v>
      </c>
      <c r="K27" s="643">
        <f t="shared" si="3"/>
        <v>3777.8388666994888</v>
      </c>
      <c r="L27" s="643">
        <f t="shared" si="3"/>
        <v>0</v>
      </c>
      <c r="M27" s="643">
        <f t="shared" ca="1" si="3"/>
        <v>0</v>
      </c>
      <c r="N27" s="643">
        <f t="shared" si="3"/>
        <v>10707.575554660614</v>
      </c>
      <c r="O27" s="643">
        <f t="shared" ca="1" si="3"/>
        <v>22761.757989761751</v>
      </c>
      <c r="P27" s="643">
        <f t="shared" si="3"/>
        <v>206.36</v>
      </c>
      <c r="Q27" s="643">
        <f t="shared" si="3"/>
        <v>629.20000000000005</v>
      </c>
      <c r="R27" s="643">
        <f t="shared" ca="1" si="3"/>
        <v>814063.21856484842</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8737.0681313950754</v>
      </c>
      <c r="D40" s="635">
        <f ca="1">tertiair!C20</f>
        <v>15.277310924369752</v>
      </c>
      <c r="E40" s="635">
        <f ca="1">tertiair!D20</f>
        <v>6154.2820264965721</v>
      </c>
      <c r="F40" s="635">
        <f>tertiair!E20</f>
        <v>175.34334767244061</v>
      </c>
      <c r="G40" s="635">
        <f ca="1">tertiair!F20</f>
        <v>2131.5488684137217</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17213.519684902181</v>
      </c>
    </row>
    <row r="41" spans="1:18">
      <c r="A41" s="762" t="s">
        <v>214</v>
      </c>
      <c r="B41" s="769"/>
      <c r="C41" s="635">
        <f ca="1">huishoudens!B12</f>
        <v>15598.89366806189</v>
      </c>
      <c r="D41" s="635">
        <f ca="1">huishoudens!C12</f>
        <v>0</v>
      </c>
      <c r="E41" s="635">
        <f>huishoudens!D12</f>
        <v>22333.572943792002</v>
      </c>
      <c r="F41" s="635">
        <f>huishoudens!E12</f>
        <v>1048.4611402221067</v>
      </c>
      <c r="G41" s="635">
        <f>huishoudens!F12</f>
        <v>42094.946383883398</v>
      </c>
      <c r="H41" s="635">
        <f>huishoudens!G12</f>
        <v>0</v>
      </c>
      <c r="I41" s="635">
        <f>huishoudens!H12</f>
        <v>0</v>
      </c>
      <c r="J41" s="635">
        <f>huishoudens!I12</f>
        <v>0</v>
      </c>
      <c r="K41" s="635">
        <f>huishoudens!J12</f>
        <v>1256.7284655603171</v>
      </c>
      <c r="L41" s="635">
        <f>huishoudens!K12</f>
        <v>0</v>
      </c>
      <c r="M41" s="635">
        <f>huishoudens!L12</f>
        <v>0</v>
      </c>
      <c r="N41" s="635">
        <f>huishoudens!M12</f>
        <v>0</v>
      </c>
      <c r="O41" s="635">
        <f>huishoudens!N12</f>
        <v>0</v>
      </c>
      <c r="P41" s="635">
        <f>huishoudens!O12</f>
        <v>0</v>
      </c>
      <c r="Q41" s="710">
        <f>huishoudens!P12</f>
        <v>0</v>
      </c>
      <c r="R41" s="790">
        <f t="shared" ca="1" si="4"/>
        <v>82332.602601519713</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8620.9713100721365</v>
      </c>
      <c r="D43" s="635">
        <f ca="1">industrie!C22</f>
        <v>0</v>
      </c>
      <c r="E43" s="635">
        <f>industrie!D22</f>
        <v>6832.5745675439994</v>
      </c>
      <c r="F43" s="635">
        <f>industrie!E22</f>
        <v>175.66269137964917</v>
      </c>
      <c r="G43" s="635">
        <f>industrie!F22</f>
        <v>2461.2981232279344</v>
      </c>
      <c r="H43" s="635">
        <f>industrie!G22</f>
        <v>0</v>
      </c>
      <c r="I43" s="635">
        <f>industrie!H22</f>
        <v>0</v>
      </c>
      <c r="J43" s="635">
        <f>industrie!I22</f>
        <v>0</v>
      </c>
      <c r="K43" s="635">
        <f>industrie!J22</f>
        <v>51.507315550841454</v>
      </c>
      <c r="L43" s="635">
        <f>industrie!K22</f>
        <v>0</v>
      </c>
      <c r="M43" s="635">
        <f>industrie!L22</f>
        <v>0</v>
      </c>
      <c r="N43" s="635">
        <f>industrie!M22</f>
        <v>0</v>
      </c>
      <c r="O43" s="635">
        <f>industrie!N22</f>
        <v>0</v>
      </c>
      <c r="P43" s="635">
        <f>industrie!O22</f>
        <v>0</v>
      </c>
      <c r="Q43" s="710">
        <f>industrie!P22</f>
        <v>0</v>
      </c>
      <c r="R43" s="789">
        <f t="shared" ca="1" si="4"/>
        <v>18142.01400777456</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32956.933109529098</v>
      </c>
      <c r="D46" s="668">
        <f t="shared" ref="D46:Q46" ca="1" si="5">SUM(D39:D45)</f>
        <v>15.277310924369752</v>
      </c>
      <c r="E46" s="668">
        <f t="shared" ca="1" si="5"/>
        <v>35320.42953783257</v>
      </c>
      <c r="F46" s="668">
        <f t="shared" si="5"/>
        <v>1399.4671792741965</v>
      </c>
      <c r="G46" s="668">
        <f t="shared" ca="1" si="5"/>
        <v>46687.793375525056</v>
      </c>
      <c r="H46" s="668">
        <f t="shared" si="5"/>
        <v>0</v>
      </c>
      <c r="I46" s="668">
        <f t="shared" si="5"/>
        <v>0</v>
      </c>
      <c r="J46" s="668">
        <f t="shared" si="5"/>
        <v>0</v>
      </c>
      <c r="K46" s="668">
        <f t="shared" si="5"/>
        <v>1308.2357811111585</v>
      </c>
      <c r="L46" s="668">
        <f t="shared" si="5"/>
        <v>0</v>
      </c>
      <c r="M46" s="668">
        <f t="shared" ca="1" si="5"/>
        <v>0</v>
      </c>
      <c r="N46" s="668">
        <f t="shared" si="5"/>
        <v>0</v>
      </c>
      <c r="O46" s="668">
        <f t="shared" ca="1" si="5"/>
        <v>0</v>
      </c>
      <c r="P46" s="668">
        <f t="shared" si="5"/>
        <v>0</v>
      </c>
      <c r="Q46" s="668">
        <f t="shared" si="5"/>
        <v>0</v>
      </c>
      <c r="R46" s="668">
        <f ca="1">SUM(R39:R45)</f>
        <v>117688.13629419645</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3.6757936189842959</v>
      </c>
      <c r="D49" s="635">
        <f ca="1">transport!C58</f>
        <v>0</v>
      </c>
      <c r="E49" s="635">
        <f>transport!D58</f>
        <v>0</v>
      </c>
      <c r="F49" s="635">
        <f>transport!E58</f>
        <v>0</v>
      </c>
      <c r="G49" s="635">
        <f>transport!F58</f>
        <v>0</v>
      </c>
      <c r="H49" s="635">
        <f>transport!G58</f>
        <v>1015.3361573040529</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1019.0119509230371</v>
      </c>
    </row>
    <row r="50" spans="1:18">
      <c r="A50" s="765" t="s">
        <v>296</v>
      </c>
      <c r="B50" s="775"/>
      <c r="C50" s="930">
        <f ca="1">transport!B18</f>
        <v>0.60244676194616775</v>
      </c>
      <c r="D50" s="930">
        <f>transport!C18</f>
        <v>0</v>
      </c>
      <c r="E50" s="930">
        <f>transport!D18</f>
        <v>2.1260825531724561</v>
      </c>
      <c r="F50" s="930">
        <f>transport!E18</f>
        <v>257.78338276274377</v>
      </c>
      <c r="G50" s="930">
        <f>transport!F18</f>
        <v>0</v>
      </c>
      <c r="H50" s="930">
        <f>transport!G18</f>
        <v>54967.664184477631</v>
      </c>
      <c r="I50" s="930">
        <f>transport!H18</f>
        <v>9067.24235844328</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64295.418454998769</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4.2782403809304634</v>
      </c>
      <c r="D52" s="668">
        <f t="shared" ref="D52:Q52" ca="1" si="6">SUM(D48:D51)</f>
        <v>0</v>
      </c>
      <c r="E52" s="668">
        <f t="shared" si="6"/>
        <v>2.1260825531724561</v>
      </c>
      <c r="F52" s="668">
        <f t="shared" si="6"/>
        <v>257.78338276274377</v>
      </c>
      <c r="G52" s="668">
        <f t="shared" si="6"/>
        <v>0</v>
      </c>
      <c r="H52" s="668">
        <f t="shared" si="6"/>
        <v>55983.000341781684</v>
      </c>
      <c r="I52" s="668">
        <f t="shared" si="6"/>
        <v>9067.24235844328</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65314.430405921805</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170.45320288139496</v>
      </c>
      <c r="D54" s="930">
        <f ca="1">+landbouw!C12</f>
        <v>0</v>
      </c>
      <c r="E54" s="930">
        <f>+landbouw!D12</f>
        <v>103.912945444</v>
      </c>
      <c r="F54" s="930">
        <f>+landbouw!E12</f>
        <v>1.6627420786638709</v>
      </c>
      <c r="G54" s="930">
        <f>+landbouw!F12</f>
        <v>813.22659116050397</v>
      </c>
      <c r="H54" s="930">
        <f>+landbouw!G12</f>
        <v>0</v>
      </c>
      <c r="I54" s="930">
        <f>+landbouw!H12</f>
        <v>0</v>
      </c>
      <c r="J54" s="930">
        <f>+landbouw!I12</f>
        <v>0</v>
      </c>
      <c r="K54" s="930">
        <f>+landbouw!J12</f>
        <v>29.119177700460462</v>
      </c>
      <c r="L54" s="930">
        <f>+landbouw!K12</f>
        <v>0</v>
      </c>
      <c r="M54" s="930">
        <f>+landbouw!L12</f>
        <v>0</v>
      </c>
      <c r="N54" s="930">
        <f>+landbouw!M12</f>
        <v>0</v>
      </c>
      <c r="O54" s="930">
        <f>+landbouw!N12</f>
        <v>0</v>
      </c>
      <c r="P54" s="930">
        <f>+landbouw!O12</f>
        <v>0</v>
      </c>
      <c r="Q54" s="931">
        <f>+landbouw!P12</f>
        <v>0</v>
      </c>
      <c r="R54" s="667">
        <f ca="1">SUM(C54:Q54)</f>
        <v>1118.3746592650234</v>
      </c>
    </row>
    <row r="55" spans="1:18" ht="15" thickBot="1">
      <c r="A55" s="765" t="s">
        <v>864</v>
      </c>
      <c r="B55" s="775"/>
      <c r="C55" s="930">
        <f ca="1">C25*'EF ele_warmte'!B12</f>
        <v>1346.0987337495833</v>
      </c>
      <c r="D55" s="930"/>
      <c r="E55" s="930">
        <f>E25*EF_CO2_aardgas</f>
        <v>973.09884199999999</v>
      </c>
      <c r="F55" s="930"/>
      <c r="G55" s="930"/>
      <c r="H55" s="930"/>
      <c r="I55" s="930"/>
      <c r="J55" s="930"/>
      <c r="K55" s="930"/>
      <c r="L55" s="930"/>
      <c r="M55" s="930"/>
      <c r="N55" s="930"/>
      <c r="O55" s="930"/>
      <c r="P55" s="930"/>
      <c r="Q55" s="931"/>
      <c r="R55" s="667">
        <f ca="1">SUM(C55:Q55)</f>
        <v>2319.1975757495834</v>
      </c>
    </row>
    <row r="56" spans="1:18" ht="15.75" thickBot="1">
      <c r="A56" s="763" t="s">
        <v>865</v>
      </c>
      <c r="B56" s="776"/>
      <c r="C56" s="668">
        <f ca="1">SUM(C54:C55)</f>
        <v>1516.5519366309782</v>
      </c>
      <c r="D56" s="668">
        <f t="shared" ref="D56:Q56" ca="1" si="7">SUM(D54:D55)</f>
        <v>0</v>
      </c>
      <c r="E56" s="668">
        <f t="shared" si="7"/>
        <v>1077.011787444</v>
      </c>
      <c r="F56" s="668">
        <f t="shared" si="7"/>
        <v>1.6627420786638709</v>
      </c>
      <c r="G56" s="668">
        <f t="shared" si="7"/>
        <v>813.22659116050397</v>
      </c>
      <c r="H56" s="668">
        <f t="shared" si="7"/>
        <v>0</v>
      </c>
      <c r="I56" s="668">
        <f t="shared" si="7"/>
        <v>0</v>
      </c>
      <c r="J56" s="668">
        <f t="shared" si="7"/>
        <v>0</v>
      </c>
      <c r="K56" s="668">
        <f t="shared" si="7"/>
        <v>29.119177700460462</v>
      </c>
      <c r="L56" s="668">
        <f t="shared" si="7"/>
        <v>0</v>
      </c>
      <c r="M56" s="668">
        <f t="shared" si="7"/>
        <v>0</v>
      </c>
      <c r="N56" s="668">
        <f t="shared" si="7"/>
        <v>0</v>
      </c>
      <c r="O56" s="668">
        <f t="shared" si="7"/>
        <v>0</v>
      </c>
      <c r="P56" s="668">
        <f t="shared" si="7"/>
        <v>0</v>
      </c>
      <c r="Q56" s="669">
        <f t="shared" si="7"/>
        <v>0</v>
      </c>
      <c r="R56" s="670">
        <f ca="1">SUM(R54:R55)</f>
        <v>3437.572235014607</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34477.763286541012</v>
      </c>
      <c r="D61" s="676">
        <f t="shared" ref="D61:Q61" ca="1" si="8">D46+D52+D56</f>
        <v>15.277310924369752</v>
      </c>
      <c r="E61" s="676">
        <f t="shared" ca="1" si="8"/>
        <v>36399.567407829738</v>
      </c>
      <c r="F61" s="676">
        <f t="shared" si="8"/>
        <v>1658.913304115604</v>
      </c>
      <c r="G61" s="676">
        <f t="shared" ca="1" si="8"/>
        <v>47501.019966685562</v>
      </c>
      <c r="H61" s="676">
        <f t="shared" si="8"/>
        <v>55983.000341781684</v>
      </c>
      <c r="I61" s="676">
        <f t="shared" si="8"/>
        <v>9067.24235844328</v>
      </c>
      <c r="J61" s="676">
        <f t="shared" si="8"/>
        <v>0</v>
      </c>
      <c r="K61" s="676">
        <f t="shared" si="8"/>
        <v>1337.3549588116191</v>
      </c>
      <c r="L61" s="676">
        <f t="shared" si="8"/>
        <v>0</v>
      </c>
      <c r="M61" s="676">
        <f t="shared" ca="1" si="8"/>
        <v>0</v>
      </c>
      <c r="N61" s="676">
        <f t="shared" si="8"/>
        <v>0</v>
      </c>
      <c r="O61" s="676">
        <f t="shared" ca="1" si="8"/>
        <v>0</v>
      </c>
      <c r="P61" s="676">
        <f t="shared" si="8"/>
        <v>0</v>
      </c>
      <c r="Q61" s="676">
        <f t="shared" si="8"/>
        <v>0</v>
      </c>
      <c r="R61" s="676">
        <f ca="1">R46+R52+R56</f>
        <v>186440.13893513285</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0.20969693596200423</v>
      </c>
      <c r="D63" s="720">
        <f t="shared" ca="1" si="9"/>
        <v>0.23764705882352946</v>
      </c>
      <c r="E63" s="932">
        <f t="shared" ca="1" si="9"/>
        <v>0.20200000000000001</v>
      </c>
      <c r="F63" s="720">
        <f t="shared" si="9"/>
        <v>0.22700000000000001</v>
      </c>
      <c r="G63" s="720">
        <f t="shared" ca="1" si="9"/>
        <v>0.26700000000000002</v>
      </c>
      <c r="H63" s="720">
        <f t="shared" si="9"/>
        <v>0.26700000000000002</v>
      </c>
      <c r="I63" s="720">
        <f t="shared" si="9"/>
        <v>0.24899999999999997</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8412.5167076808739</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45</v>
      </c>
      <c r="D76" s="942">
        <f>'lokale energieproductie'!C8</f>
        <v>52.941176470588239</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10.694117647058825</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8412.5167076808739</v>
      </c>
      <c r="C78" s="691">
        <f>SUM(C72:C77)</f>
        <v>45</v>
      </c>
      <c r="D78" s="692">
        <f t="shared" ref="D78:H78" si="10">SUM(D76:D77)</f>
        <v>52.941176470588239</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10.694117647058825</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64.285714285714292</v>
      </c>
      <c r="D87" s="713">
        <f>'lokale energieproductie'!C17</f>
        <v>75.630252100840352</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15.277310924369752</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64.285714285714292</v>
      </c>
      <c r="D90" s="691">
        <f t="shared" ref="D90:H90" si="12">SUM(D87:D89)</f>
        <v>75.630252100840352</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15.277310924369752</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74387.799690541549</v>
      </c>
      <c r="C4" s="445">
        <f>huishoudens!C8</f>
        <v>0</v>
      </c>
      <c r="D4" s="445">
        <f>huishoudens!D8</f>
        <v>110562.242296</v>
      </c>
      <c r="E4" s="445">
        <f>huishoudens!E8</f>
        <v>4618.7715428286638</v>
      </c>
      <c r="F4" s="445">
        <f>huishoudens!F8</f>
        <v>157658.97522053708</v>
      </c>
      <c r="G4" s="445">
        <f>huishoudens!G8</f>
        <v>0</v>
      </c>
      <c r="H4" s="445">
        <f>huishoudens!H8</f>
        <v>0</v>
      </c>
      <c r="I4" s="445">
        <f>huishoudens!I8</f>
        <v>0</v>
      </c>
      <c r="J4" s="445">
        <f>huishoudens!J8</f>
        <v>3550.0804111873367</v>
      </c>
      <c r="K4" s="445">
        <f>huishoudens!K8</f>
        <v>0</v>
      </c>
      <c r="L4" s="445">
        <f>huishoudens!L8</f>
        <v>0</v>
      </c>
      <c r="M4" s="445">
        <f>huishoudens!M8</f>
        <v>0</v>
      </c>
      <c r="N4" s="445">
        <f>huishoudens!N8</f>
        <v>20817.315810412321</v>
      </c>
      <c r="O4" s="445">
        <f>huishoudens!O8</f>
        <v>204.79666666666668</v>
      </c>
      <c r="P4" s="446">
        <f>huishoudens!P8</f>
        <v>610.13333333333333</v>
      </c>
      <c r="Q4" s="447">
        <f>SUM(B4:P4)</f>
        <v>372410.11497150699</v>
      </c>
    </row>
    <row r="5" spans="1:17">
      <c r="A5" s="444" t="s">
        <v>149</v>
      </c>
      <c r="B5" s="445">
        <f ca="1">tertiair!B16</f>
        <v>39559.486000000004</v>
      </c>
      <c r="C5" s="445">
        <f ca="1">tertiair!C16</f>
        <v>64.285714285714292</v>
      </c>
      <c r="D5" s="445">
        <f ca="1">tertiair!D16</f>
        <v>30466.742705428573</v>
      </c>
      <c r="E5" s="445">
        <f>tertiair!E16</f>
        <v>772.43765494467232</v>
      </c>
      <c r="F5" s="445">
        <f ca="1">tertiair!F16</f>
        <v>7983.3290951824783</v>
      </c>
      <c r="G5" s="445">
        <f>tertiair!G16</f>
        <v>0</v>
      </c>
      <c r="H5" s="445">
        <f>tertiair!H16</f>
        <v>0</v>
      </c>
      <c r="I5" s="445">
        <f>tertiair!I16</f>
        <v>0</v>
      </c>
      <c r="J5" s="445">
        <f>tertiair!J16</f>
        <v>0</v>
      </c>
      <c r="K5" s="445">
        <f>tertiair!K16</f>
        <v>0</v>
      </c>
      <c r="L5" s="445">
        <f ca="1">tertiair!L16</f>
        <v>0</v>
      </c>
      <c r="M5" s="445">
        <f>tertiair!M16</f>
        <v>0</v>
      </c>
      <c r="N5" s="445">
        <f ca="1">tertiair!N16</f>
        <v>1453.8895226197174</v>
      </c>
      <c r="O5" s="445">
        <f>tertiair!O16</f>
        <v>1.5633333333333335</v>
      </c>
      <c r="P5" s="446">
        <f>tertiair!P16</f>
        <v>19.066666666666666</v>
      </c>
      <c r="Q5" s="444">
        <f t="shared" ref="Q5:Q14" ca="1" si="0">SUM(B5:P5)</f>
        <v>80320.800692461169</v>
      </c>
    </row>
    <row r="6" spans="1:17">
      <c r="A6" s="444" t="s">
        <v>187</v>
      </c>
      <c r="B6" s="445">
        <f>'openbare verlichting'!B8</f>
        <v>2105.73</v>
      </c>
      <c r="C6" s="445"/>
      <c r="D6" s="445"/>
      <c r="E6" s="445"/>
      <c r="F6" s="445"/>
      <c r="G6" s="445"/>
      <c r="H6" s="445"/>
      <c r="I6" s="445"/>
      <c r="J6" s="445"/>
      <c r="K6" s="445"/>
      <c r="L6" s="445"/>
      <c r="M6" s="445"/>
      <c r="N6" s="445"/>
      <c r="O6" s="445"/>
      <c r="P6" s="446"/>
      <c r="Q6" s="444">
        <f t="shared" si="0"/>
        <v>2105.73</v>
      </c>
    </row>
    <row r="7" spans="1:17">
      <c r="A7" s="444" t="s">
        <v>105</v>
      </c>
      <c r="B7" s="445">
        <f>landbouw!B8</f>
        <v>812.85500000000002</v>
      </c>
      <c r="C7" s="445">
        <f>landbouw!C8</f>
        <v>0</v>
      </c>
      <c r="D7" s="445">
        <f>landbouw!D8</f>
        <v>514.42052200000001</v>
      </c>
      <c r="E7" s="445">
        <f>landbouw!E8</f>
        <v>7.3248549720875369</v>
      </c>
      <c r="F7" s="445">
        <f>landbouw!F8</f>
        <v>3045.792476256569</v>
      </c>
      <c r="G7" s="445">
        <f>landbouw!G8</f>
        <v>0</v>
      </c>
      <c r="H7" s="445">
        <f>landbouw!H8</f>
        <v>0</v>
      </c>
      <c r="I7" s="445">
        <f>landbouw!I8</f>
        <v>0</v>
      </c>
      <c r="J7" s="445">
        <f>landbouw!J8</f>
        <v>82.257564125594527</v>
      </c>
      <c r="K7" s="445">
        <f>landbouw!K8</f>
        <v>0</v>
      </c>
      <c r="L7" s="445">
        <f>landbouw!L8</f>
        <v>0</v>
      </c>
      <c r="M7" s="445">
        <f>landbouw!M8</f>
        <v>0</v>
      </c>
      <c r="N7" s="445">
        <f>landbouw!N8</f>
        <v>0</v>
      </c>
      <c r="O7" s="445">
        <f>landbouw!O8</f>
        <v>0</v>
      </c>
      <c r="P7" s="446">
        <f>landbouw!P8</f>
        <v>0</v>
      </c>
      <c r="Q7" s="444">
        <f t="shared" si="0"/>
        <v>4462.6504173542507</v>
      </c>
    </row>
    <row r="8" spans="1:17">
      <c r="A8" s="444" t="s">
        <v>613</v>
      </c>
      <c r="B8" s="445">
        <f>industrie!B18</f>
        <v>41111.575000000012</v>
      </c>
      <c r="C8" s="445">
        <f>industrie!C18</f>
        <v>0</v>
      </c>
      <c r="D8" s="445">
        <f>industrie!D18</f>
        <v>33824.626571999994</v>
      </c>
      <c r="E8" s="445">
        <f>industrie!E18</f>
        <v>773.84445541695663</v>
      </c>
      <c r="F8" s="445">
        <f>industrie!F18</f>
        <v>9218.3450308162337</v>
      </c>
      <c r="G8" s="445">
        <f>industrie!G18</f>
        <v>0</v>
      </c>
      <c r="H8" s="445">
        <f>industrie!H18</f>
        <v>0</v>
      </c>
      <c r="I8" s="445">
        <f>industrie!I18</f>
        <v>0</v>
      </c>
      <c r="J8" s="445">
        <f>industrie!J18</f>
        <v>145.50089138655778</v>
      </c>
      <c r="K8" s="445">
        <f>industrie!K18</f>
        <v>0</v>
      </c>
      <c r="L8" s="445">
        <f>industrie!L18</f>
        <v>0</v>
      </c>
      <c r="M8" s="445">
        <f>industrie!M18</f>
        <v>0</v>
      </c>
      <c r="N8" s="445">
        <f>industrie!N18</f>
        <v>490.55265672971217</v>
      </c>
      <c r="O8" s="445">
        <f>industrie!O18</f>
        <v>0</v>
      </c>
      <c r="P8" s="446">
        <f>industrie!P18</f>
        <v>0</v>
      </c>
      <c r="Q8" s="444">
        <f t="shared" si="0"/>
        <v>85564.444606349454</v>
      </c>
    </row>
    <row r="9" spans="1:17" s="450" customFormat="1">
      <c r="A9" s="448" t="s">
        <v>555</v>
      </c>
      <c r="B9" s="449">
        <f>transport!B14</f>
        <v>2.8729402229097296</v>
      </c>
      <c r="C9" s="449">
        <f>transport!C14</f>
        <v>0</v>
      </c>
      <c r="D9" s="449">
        <f>transport!D14</f>
        <v>10.525161154319088</v>
      </c>
      <c r="E9" s="449">
        <f>transport!E14</f>
        <v>1135.6096156949066</v>
      </c>
      <c r="F9" s="449">
        <f>transport!F14</f>
        <v>0</v>
      </c>
      <c r="G9" s="449">
        <f>transport!G14</f>
        <v>205871.40143999111</v>
      </c>
      <c r="H9" s="449">
        <f>transport!H14</f>
        <v>36414.627945555345</v>
      </c>
      <c r="I9" s="449">
        <f>transport!I14</f>
        <v>0</v>
      </c>
      <c r="J9" s="449">
        <f>transport!J14</f>
        <v>0</v>
      </c>
      <c r="K9" s="449">
        <f>transport!K14</f>
        <v>0</v>
      </c>
      <c r="L9" s="449">
        <f>transport!L14</f>
        <v>0</v>
      </c>
      <c r="M9" s="449">
        <f>transport!M14</f>
        <v>10544.756101114799</v>
      </c>
      <c r="N9" s="449">
        <f>transport!N14</f>
        <v>0</v>
      </c>
      <c r="O9" s="449">
        <f>transport!O14</f>
        <v>0</v>
      </c>
      <c r="P9" s="449">
        <f>transport!P14</f>
        <v>0</v>
      </c>
      <c r="Q9" s="448">
        <f>SUM(B9:P9)</f>
        <v>253979.7932037334</v>
      </c>
    </row>
    <row r="10" spans="1:17">
      <c r="A10" s="444" t="s">
        <v>545</v>
      </c>
      <c r="B10" s="445">
        <f>transport!B54</f>
        <v>17.529076436530893</v>
      </c>
      <c r="C10" s="445">
        <f>transport!C54</f>
        <v>0</v>
      </c>
      <c r="D10" s="445">
        <f>transport!D54</f>
        <v>0</v>
      </c>
      <c r="E10" s="445">
        <f>transport!E54</f>
        <v>0</v>
      </c>
      <c r="F10" s="445">
        <f>transport!F54</f>
        <v>0</v>
      </c>
      <c r="G10" s="445">
        <f>transport!G54</f>
        <v>3802.7571434608722</v>
      </c>
      <c r="H10" s="445">
        <f>transport!H54</f>
        <v>0</v>
      </c>
      <c r="I10" s="445">
        <f>transport!I54</f>
        <v>0</v>
      </c>
      <c r="J10" s="445">
        <f>transport!J54</f>
        <v>0</v>
      </c>
      <c r="K10" s="445">
        <f>transport!K54</f>
        <v>0</v>
      </c>
      <c r="L10" s="445">
        <f>transport!L54</f>
        <v>0</v>
      </c>
      <c r="M10" s="445">
        <f>transport!M54</f>
        <v>162.81945354581455</v>
      </c>
      <c r="N10" s="445">
        <f>transport!N54</f>
        <v>0</v>
      </c>
      <c r="O10" s="445">
        <f>transport!O54</f>
        <v>0</v>
      </c>
      <c r="P10" s="446">
        <f>transport!P54</f>
        <v>0</v>
      </c>
      <c r="Q10" s="444">
        <f t="shared" si="0"/>
        <v>3983.1056734432177</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6419.2579999999998</v>
      </c>
      <c r="C14" s="452"/>
      <c r="D14" s="452">
        <f>'SEAP template'!E25</f>
        <v>4817.3209999999999</v>
      </c>
      <c r="E14" s="452"/>
      <c r="F14" s="452"/>
      <c r="G14" s="452"/>
      <c r="H14" s="452"/>
      <c r="I14" s="452"/>
      <c r="J14" s="452"/>
      <c r="K14" s="452"/>
      <c r="L14" s="452"/>
      <c r="M14" s="452"/>
      <c r="N14" s="452"/>
      <c r="O14" s="452"/>
      <c r="P14" s="453"/>
      <c r="Q14" s="444">
        <f t="shared" si="0"/>
        <v>11236.579</v>
      </c>
    </row>
    <row r="15" spans="1:17" s="457" customFormat="1">
      <c r="A15" s="454" t="s">
        <v>549</v>
      </c>
      <c r="B15" s="455">
        <f ca="1">SUM(B4:B14)</f>
        <v>164417.105707201</v>
      </c>
      <c r="C15" s="455">
        <f t="shared" ref="C15:Q15" ca="1" si="1">SUM(C4:C14)</f>
        <v>64.285714285714292</v>
      </c>
      <c r="D15" s="455">
        <f t="shared" ca="1" si="1"/>
        <v>180195.87825658286</v>
      </c>
      <c r="E15" s="455">
        <f t="shared" si="1"/>
        <v>7307.9881238572871</v>
      </c>
      <c r="F15" s="455">
        <f t="shared" ca="1" si="1"/>
        <v>177906.44182279237</v>
      </c>
      <c r="G15" s="455">
        <f t="shared" si="1"/>
        <v>209674.15858345199</v>
      </c>
      <c r="H15" s="455">
        <f t="shared" si="1"/>
        <v>36414.627945555345</v>
      </c>
      <c r="I15" s="455">
        <f t="shared" si="1"/>
        <v>0</v>
      </c>
      <c r="J15" s="455">
        <f t="shared" si="1"/>
        <v>3777.8388666994888</v>
      </c>
      <c r="K15" s="455">
        <f t="shared" si="1"/>
        <v>0</v>
      </c>
      <c r="L15" s="455">
        <f t="shared" ca="1" si="1"/>
        <v>0</v>
      </c>
      <c r="M15" s="455">
        <f t="shared" si="1"/>
        <v>10707.575554660614</v>
      </c>
      <c r="N15" s="455">
        <f t="shared" ca="1" si="1"/>
        <v>22761.757989761751</v>
      </c>
      <c r="O15" s="455">
        <f t="shared" si="1"/>
        <v>206.36</v>
      </c>
      <c r="P15" s="455">
        <f t="shared" si="1"/>
        <v>629.20000000000005</v>
      </c>
      <c r="Q15" s="455">
        <f t="shared" ca="1" si="1"/>
        <v>814063.21856484842</v>
      </c>
    </row>
    <row r="17" spans="1:17">
      <c r="A17" s="458" t="s">
        <v>550</v>
      </c>
      <c r="B17" s="725">
        <f ca="1">huishoudens!B10</f>
        <v>0.20969693596200423</v>
      </c>
      <c r="C17" s="725">
        <f ca="1">huishoudens!C10</f>
        <v>0.23764705882352946</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15598.89366806189</v>
      </c>
      <c r="C22" s="445">
        <f t="shared" ref="C22:C32" ca="1" si="3">C4*$C$17</f>
        <v>0</v>
      </c>
      <c r="D22" s="445">
        <f t="shared" ref="D22:D32" si="4">D4*$D$17</f>
        <v>22333.572943792002</v>
      </c>
      <c r="E22" s="445">
        <f t="shared" ref="E22:E32" si="5">E4*$E$17</f>
        <v>1048.4611402221067</v>
      </c>
      <c r="F22" s="445">
        <f t="shared" ref="F22:F32" si="6">F4*$F$17</f>
        <v>42094.946383883398</v>
      </c>
      <c r="G22" s="445">
        <f t="shared" ref="G22:G32" si="7">G4*$G$17</f>
        <v>0</v>
      </c>
      <c r="H22" s="445">
        <f t="shared" ref="H22:H32" si="8">H4*$H$17</f>
        <v>0</v>
      </c>
      <c r="I22" s="445">
        <f t="shared" ref="I22:I32" si="9">I4*$I$17</f>
        <v>0</v>
      </c>
      <c r="J22" s="445">
        <f t="shared" ref="J22:J32" si="10">J4*$J$17</f>
        <v>1256.7284655603171</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82332.602601519713</v>
      </c>
    </row>
    <row r="23" spans="1:17">
      <c r="A23" s="444" t="s">
        <v>149</v>
      </c>
      <c r="B23" s="445">
        <f t="shared" ca="1" si="2"/>
        <v>8295.5030024318039</v>
      </c>
      <c r="C23" s="445">
        <f t="shared" ca="1" si="3"/>
        <v>15.277310924369752</v>
      </c>
      <c r="D23" s="445">
        <f t="shared" ca="1" si="4"/>
        <v>6154.2820264965721</v>
      </c>
      <c r="E23" s="445">
        <f t="shared" si="5"/>
        <v>175.34334767244061</v>
      </c>
      <c r="F23" s="445">
        <f t="shared" ca="1" si="6"/>
        <v>2131.5488684137217</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16771.954555938908</v>
      </c>
    </row>
    <row r="24" spans="1:17">
      <c r="A24" s="444" t="s">
        <v>187</v>
      </c>
      <c r="B24" s="445">
        <f t="shared" ca="1" si="2"/>
        <v>441.56512896327115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441.56512896327115</v>
      </c>
    </row>
    <row r="25" spans="1:17">
      <c r="A25" s="444" t="s">
        <v>105</v>
      </c>
      <c r="B25" s="445">
        <f t="shared" ca="1" si="2"/>
        <v>170.45320288139496</v>
      </c>
      <c r="C25" s="445">
        <f t="shared" ca="1" si="3"/>
        <v>0</v>
      </c>
      <c r="D25" s="445">
        <f t="shared" si="4"/>
        <v>103.912945444</v>
      </c>
      <c r="E25" s="445">
        <f t="shared" si="5"/>
        <v>1.6627420786638709</v>
      </c>
      <c r="F25" s="445">
        <f t="shared" si="6"/>
        <v>813.22659116050397</v>
      </c>
      <c r="G25" s="445">
        <f t="shared" si="7"/>
        <v>0</v>
      </c>
      <c r="H25" s="445">
        <f t="shared" si="8"/>
        <v>0</v>
      </c>
      <c r="I25" s="445">
        <f t="shared" si="9"/>
        <v>0</v>
      </c>
      <c r="J25" s="445">
        <f t="shared" si="10"/>
        <v>29.119177700460462</v>
      </c>
      <c r="K25" s="445">
        <f t="shared" si="11"/>
        <v>0</v>
      </c>
      <c r="L25" s="445">
        <f t="shared" si="12"/>
        <v>0</v>
      </c>
      <c r="M25" s="445">
        <f t="shared" si="13"/>
        <v>0</v>
      </c>
      <c r="N25" s="445">
        <f t="shared" si="14"/>
        <v>0</v>
      </c>
      <c r="O25" s="445">
        <f t="shared" si="15"/>
        <v>0</v>
      </c>
      <c r="P25" s="446">
        <f t="shared" si="16"/>
        <v>0</v>
      </c>
      <c r="Q25" s="444">
        <f t="shared" ca="1" si="17"/>
        <v>1118.3746592650234</v>
      </c>
    </row>
    <row r="26" spans="1:17">
      <c r="A26" s="444" t="s">
        <v>613</v>
      </c>
      <c r="B26" s="445">
        <f t="shared" ca="1" si="2"/>
        <v>8620.9713100721365</v>
      </c>
      <c r="C26" s="445">
        <f t="shared" ca="1" si="3"/>
        <v>0</v>
      </c>
      <c r="D26" s="445">
        <f t="shared" si="4"/>
        <v>6832.5745675439994</v>
      </c>
      <c r="E26" s="445">
        <f t="shared" si="5"/>
        <v>175.66269137964917</v>
      </c>
      <c r="F26" s="445">
        <f t="shared" si="6"/>
        <v>2461.2981232279344</v>
      </c>
      <c r="G26" s="445">
        <f t="shared" si="7"/>
        <v>0</v>
      </c>
      <c r="H26" s="445">
        <f t="shared" si="8"/>
        <v>0</v>
      </c>
      <c r="I26" s="445">
        <f t="shared" si="9"/>
        <v>0</v>
      </c>
      <c r="J26" s="445">
        <f t="shared" si="10"/>
        <v>51.507315550841454</v>
      </c>
      <c r="K26" s="445">
        <f t="shared" si="11"/>
        <v>0</v>
      </c>
      <c r="L26" s="445">
        <f t="shared" si="12"/>
        <v>0</v>
      </c>
      <c r="M26" s="445">
        <f t="shared" si="13"/>
        <v>0</v>
      </c>
      <c r="N26" s="445">
        <f t="shared" si="14"/>
        <v>0</v>
      </c>
      <c r="O26" s="445">
        <f t="shared" si="15"/>
        <v>0</v>
      </c>
      <c r="P26" s="446">
        <f t="shared" si="16"/>
        <v>0</v>
      </c>
      <c r="Q26" s="444">
        <f t="shared" ca="1" si="17"/>
        <v>18142.01400777456</v>
      </c>
    </row>
    <row r="27" spans="1:17" s="450" customFormat="1">
      <c r="A27" s="448" t="s">
        <v>555</v>
      </c>
      <c r="B27" s="719">
        <f t="shared" ca="1" si="2"/>
        <v>0.60244676194616775</v>
      </c>
      <c r="C27" s="449">
        <f t="shared" ca="1" si="3"/>
        <v>0</v>
      </c>
      <c r="D27" s="449">
        <f t="shared" si="4"/>
        <v>2.1260825531724561</v>
      </c>
      <c r="E27" s="449">
        <f t="shared" si="5"/>
        <v>257.78338276274377</v>
      </c>
      <c r="F27" s="449">
        <f t="shared" si="6"/>
        <v>0</v>
      </c>
      <c r="G27" s="449">
        <f t="shared" si="7"/>
        <v>54967.664184477631</v>
      </c>
      <c r="H27" s="449">
        <f t="shared" si="8"/>
        <v>9067.24235844328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64295.418454998769</v>
      </c>
    </row>
    <row r="28" spans="1:17">
      <c r="A28" s="444" t="s">
        <v>545</v>
      </c>
      <c r="B28" s="445">
        <f t="shared" ca="1" si="2"/>
        <v>3.6757936189842959</v>
      </c>
      <c r="C28" s="445">
        <f t="shared" ca="1" si="3"/>
        <v>0</v>
      </c>
      <c r="D28" s="445">
        <f t="shared" si="4"/>
        <v>0</v>
      </c>
      <c r="E28" s="445">
        <f t="shared" si="5"/>
        <v>0</v>
      </c>
      <c r="F28" s="445">
        <f t="shared" si="6"/>
        <v>0</v>
      </c>
      <c r="G28" s="445">
        <f t="shared" si="7"/>
        <v>1015.3361573040529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1019.0119509230371</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1346.0987337495833</v>
      </c>
      <c r="C32" s="445">
        <f t="shared" ca="1" si="3"/>
        <v>0</v>
      </c>
      <c r="D32" s="445">
        <f t="shared" si="4"/>
        <v>973.09884199999999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2319.1975757495834</v>
      </c>
    </row>
    <row r="33" spans="1:17" s="457" customFormat="1">
      <c r="A33" s="454" t="s">
        <v>549</v>
      </c>
      <c r="B33" s="455">
        <f ca="1">SUM(B22:B32)</f>
        <v>34477.763286541005</v>
      </c>
      <c r="C33" s="455">
        <f t="shared" ref="C33:Q33" ca="1" si="19">SUM(C22:C32)</f>
        <v>15.277310924369752</v>
      </c>
      <c r="D33" s="455">
        <f t="shared" ca="1" si="19"/>
        <v>36399.567407829745</v>
      </c>
      <c r="E33" s="455">
        <f t="shared" si="19"/>
        <v>1658.913304115604</v>
      </c>
      <c r="F33" s="455">
        <f t="shared" ca="1" si="19"/>
        <v>47501.019966685562</v>
      </c>
      <c r="G33" s="455">
        <f t="shared" si="19"/>
        <v>55983.000341781684</v>
      </c>
      <c r="H33" s="455">
        <f t="shared" si="19"/>
        <v>9067.24235844328</v>
      </c>
      <c r="I33" s="455">
        <f t="shared" si="19"/>
        <v>0</v>
      </c>
      <c r="J33" s="455">
        <f t="shared" si="19"/>
        <v>1337.3549588116191</v>
      </c>
      <c r="K33" s="455">
        <f t="shared" si="19"/>
        <v>0</v>
      </c>
      <c r="L33" s="455">
        <f t="shared" ca="1" si="19"/>
        <v>0</v>
      </c>
      <c r="M33" s="455">
        <f t="shared" si="19"/>
        <v>0</v>
      </c>
      <c r="N33" s="455">
        <f t="shared" ca="1" si="19"/>
        <v>0</v>
      </c>
      <c r="O33" s="455">
        <f t="shared" si="19"/>
        <v>0</v>
      </c>
      <c r="P33" s="455">
        <f t="shared" si="19"/>
        <v>0</v>
      </c>
      <c r="Q33" s="455">
        <f t="shared" ca="1" si="19"/>
        <v>186440.13893513288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8412.5167076808739</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45</v>
      </c>
      <c r="D8" s="963">
        <f>'SEAP template'!D76</f>
        <v>52.941176470588239</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10.694117647058825</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8412.5167076808739</v>
      </c>
      <c r="C10" s="967">
        <f>SUM(C4:C9)</f>
        <v>45</v>
      </c>
      <c r="D10" s="967">
        <f t="shared" ref="D10:H10" si="0">SUM(D8:D9)</f>
        <v>52.941176470588239</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10.694117647058825</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0.20969693596200423</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64.285714285714292</v>
      </c>
      <c r="D17" s="964">
        <f>'SEAP template'!D87</f>
        <v>75.630252100840352</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15.277310924369752</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64.285714285714292</v>
      </c>
      <c r="D20" s="967">
        <f t="shared" ref="D20:H20" si="2">SUM(D17:D19)</f>
        <v>75.630252100840352</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15.277310924369752</v>
      </c>
    </row>
    <row r="22" spans="1:16">
      <c r="A22" s="458" t="s">
        <v>885</v>
      </c>
      <c r="B22" s="725" t="s">
        <v>879</v>
      </c>
      <c r="C22" s="725">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0.20969693596200423</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2022-07-26T13:04:48Z</dcterms:modified>
</cp:coreProperties>
</file>