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16678F4-7196-4C5C-A352-8F7D2FA6F31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<sst xmlns="http://schemas.openxmlformats.org/spreadsheetml/2006/main" count="2518" uniqueCount="965">
  <si>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</si>
  <si>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</si>
  <si>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</si>
  <si>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</si>
  <si>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</si>
  <si>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</si>
  <si>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</si>
  <si>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</si>
  <si>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</si>
  <si>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</si>
  <si>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</si>
  <si>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</si>
  <si>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</si>
  <si>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</si>
  <si>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</si>
  <si>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</si>
  <si>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</si>
  <si>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</si>
  <si>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</si>
  <si>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</si>
  <si>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</si>
  <si>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</si>
  <si>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</si>
  <si>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</si>
  <si>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</si>
  <si>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</si>
  <si>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</si>
  <si>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</si>
  <si>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</si>
  <si>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</si>
  <si>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</si>
  <si>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</si>
  <si>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</si>
  <si>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</si>
  <si>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</si>
  <si>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</si>
  <si>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</si>
  <si>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</si>
  <si>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</si>
  <si>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</si>
  <si>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</si>
  <si>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</si>
  <si>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</si>
  <si>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</si>
  <si>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</si>
  <si>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</si>
  <si>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</si>
  <si>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</si>
  <si>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</si>
  <si>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</si>
  <si>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</si>
  <si>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</si>
  <si>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</si>
  <si>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</si>
  <si>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</si>
  <si>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</si>
  <si>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</si>
  <si>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</si>
  <si>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</si>
  <si>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</si>
  <si>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</si>
  <si>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</si>
  <si>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</si>
  <si>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</si>
  <si>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</si>
  <si>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</si>
  <si>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</si>
  <si>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</si>
  <si>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</si>
  <si>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</si>
  <si>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</si>
  <si>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</si>
  <si>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</si>
  <si>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</si>
  <si>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</si>
  <si>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</si>
  <si>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</si>
  <si>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</si>
  <si>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</si>
  <si>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</si>
  <si>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</si>
  <si>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</si>
  <si>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</si>
  <si>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</si>
  <si>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</si>
  <si>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</si>
  <si>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</si>
  <si>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</si>
  <si>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</si>
  <si>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</si>
  <si>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</si>
  <si>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</si>
  <si>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</si>
  <si>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</si>
  <si>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</si>
  <si>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</si>
  <si>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</si>
  <si>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</si>
  <si>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</si>
  <si>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</si>
  <si>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</si>
  <si>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</si>
  <si>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</si>
  <si>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</si>
  <si>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</si>
  <si>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</si>
  <si>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</si>
  <si>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</si>
  <si>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</si>
  <si>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</si>
  <si>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</si>
  <si>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</si>
  <si>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</si>
  <si>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</si>
  <si>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</si>
  <si>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</si>
  <si>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</si>
  <si>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</si>
  <si>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</si>
  <si>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</si>
  <si>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</si>
  <si>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</si>
  <si>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</si>
  <si>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</si>
  <si>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</si>
  <si>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</si>
  <si>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</si>
  <si>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</si>
  <si>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</si>
  <si>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</si>
  <si>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</si>
  <si>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</si>
  <si>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</si>
  <si>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</si>
  <si>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</si>
  <si>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</si>
  <si>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</si>
  <si>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</si>
  <si>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</si>
  <si>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</si>
  <si>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</si>
  <si>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</si>
  <si>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</si>
  <si>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</si>
  <si>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</si>
  <si>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</si>
  <si>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</si>
  <si>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</si>
  <si>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</si>
  <si>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</si>
  <si>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</si>
  <si>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</si>
  <si>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</si>
  <si>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</si>
  <si>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</si>
  <si>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</si>
  <si>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</si>
  <si>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</si>
  <si>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</si>
  <si>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</si>
  <si>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</si>
  <si>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</si>
  <si>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</si>
  <si>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</si>
  <si>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</si>
  <si>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</si>
  <si>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</si>
  <si>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</si>
  <si>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</si>
  <si>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</si>
  <si>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</si>
  <si>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</si>
  <si>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</si>
  <si>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</si>
  <si>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</si>
  <si>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</si>
  <si>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</si>
  <si>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</si>
  <si>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</si>
  <si>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</si>
  <si>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</si>
  <si>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</si>
  <si>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</si>
  <si>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</si>
  <si>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</si>
  <si>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</si>
  <si>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</si>
  <si>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</si>
  <si>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</si>
  <si>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</si>
  <si>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</si>
  <si>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</si>
  <si>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</si>
  <si>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</si>
  <si>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</si>
  <si>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</si>
  <si>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</si>
  <si>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</si>
  <si>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</si>
  <si>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</si>
  <si>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</si>
  <si>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</si>
  <si>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</si>
  <si>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</si>
  <si>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</si>
  <si>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</si>
  <si>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</si>
  <si>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</si>
  <si>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</si>
  <si>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</si>
  <si>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</si>
  <si>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</si>
  <si>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</si>
  <si>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</si>
  <si>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</si>
  <si>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</si>
  <si>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</si>
  <si>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</si>
  <si>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</si>
  <si>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</si>
  <si>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</si>
  <si>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</si>
  <si>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</si>
  <si>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</si>
  <si>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</si>
  <si>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</si>
  <si>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</si>
  <si>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</si>
  <si>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</si>
  <si>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</si>
  <si>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</si>
  <si>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</si>
  <si>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</si>
  <si>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</si>
  <si>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</si>
  <si>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</si>
  <si>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</si>
  <si>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</si>
  <si>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</si>
  <si>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</si>
  <si>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</si>
  <si>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</si>
  <si>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</si>
  <si>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</si>
  <si>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</si>
  <si>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</si>
  <si>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</si>
  <si>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</si>
  <si>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</si>
  <si>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</si>
  <si>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</si>
  <si>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</si>
  <si>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</si>
  <si>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</si>
  <si>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</si>
  <si>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</si>
  <si>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</si>
  <si>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</si>
  <si>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</si>
  <si>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</si>
  <si>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</si>
  <si>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</si>
  <si>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</si>
  <si>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</si>
  <si>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</si>
  <si>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</si>
  <si>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</si>
  <si>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</si>
  <si>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</si>
  <si>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</si>
  <si>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</si>
  <si>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</si>
  <si>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</si>
  <si>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</si>
  <si>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</si>
  <si>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</si>
  <si>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</si>
  <si>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</si>
  <si>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</si>
  <si>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</si>
  <si>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</si>
  <si>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</si>
  <si>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</si>
  <si>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</si>
  <si>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</si>
  <si>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</si>
  <si>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</si>
  <si>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</si>
  <si>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</si>
  <si>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</si>
  <si>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</si>
  <si>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</si>
  <si>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</si>
  <si>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</si>
  <si>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</si>
  <si>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</si>
  <si>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</si>
  <si>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</si>
  <si>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</si>
  <si>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</si>
  <si>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</si>
  <si>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</si>
  <si>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</si>
  <si>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</si>
  <si>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</si>
  <si>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</si>
  <si>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</si>
  <si>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</si>
  <si>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</si>
  <si>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</si>
  <si>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</si>
  <si>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</si>
  <si>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</si>
  <si>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</si>
  <si>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</si>
  <si>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</si>
  <si>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</si>
  <si>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</si>
  <si>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</si>
  <si>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</si>
  <si>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</si>
  <si>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</si>
  <si>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</si>
  <si>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</si>
  <si>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</si>
  <si>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</si>
  <si>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</si>
  <si>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</si>
  <si>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</si>
  <si>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</si>
  <si>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</si>
  <si>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</si>
  <si>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</si>
  <si>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</si>
  <si>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</si>
  <si>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</si>
  <si>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</si>
  <si>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</si>
  <si>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</si>
  <si>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</si>
  <si>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</si>
  <si>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</si>
  <si>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</si>
  <si>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</si>
  <si>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</si>
  <si>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</si>
  <si>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</si>
  <si>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</si>
  <si>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</si>
  <si>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</si>
  <si>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</si>
  <si>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</si>
  <si>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</si>
  <si>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</si>
  <si>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</si>
  <si>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</si>
  <si>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</si>
  <si>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</si>
  <si>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</si>
  <si>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</si>
  <si>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</si>
  <si>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</si>
  <si>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</si>
  <si>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</si>
  <si>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</si>
  <si>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</si>
  <si>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</si>
  <si>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</si>
  <si>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</si>
  <si>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</si>
  <si>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</si>
  <si>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</si>
  <si>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</si>
  <si>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</si>
  <si>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</si>
  <si>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</si>
  <si>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</si>
  <si>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</si>
  <si>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</si>
  <si>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</si>
  <si>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</si>
  <si>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</si>
  <si>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</si>
  <si>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</si>
  <si>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</si>
  <si>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</si>
  <si>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</si>
  <si>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</si>
  <si>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</si>
  <si>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</si>
  <si>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</si>
  <si>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</si>
  <si>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</si>
  <si>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</si>
  <si>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</si>
  <si>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</si>
  <si>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</si>
  <si>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</si>
  <si>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</si>
  <si>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</si>
  <si>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</si>
  <si>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</si>
  <si>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</si>
  <si>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</si>
  <si>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</si>
  <si>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</si>
  <si>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</si>
  <si>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</si>
  <si>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</si>
  <si>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</si>
  <si>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</si>
  <si>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</si>
  <si>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</si>
  <si>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</si>
  <si>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</si>
  <si>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</si>
  <si>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</si>
  <si>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</si>
  <si>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</si>
  <si>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</si>
  <si>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</si>
  <si>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</si>
  <si>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</si>
  <si>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</si>
  <si>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</si>
  <si>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</si>
  <si>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</si>
  <si>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</si>
  <si>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</si>
  <si>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</si>
  <si>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</si>
  <si>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</si>
  <si>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</si>
  <si>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</si>
  <si>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</si>
  <si>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</si>
  <si>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</si>
  <si>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</si>
  <si>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</si>
  <si>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</si>
  <si>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</si>
  <si>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</si>
  <si>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</si>
  <si>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</si>
  <si>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</si>
  <si>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</si>
  <si>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</si>
  <si>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</si>
  <si>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</si>
  <si>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</si>
  <si>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</si>
  <si>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</si>
  <si>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</si>
  <si>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</si>
  <si>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</si>
  <si>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</si>
  <si>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</si>
  <si>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</si>
  <si>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</si>
  <si>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</si>
  <si>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</si>
  <si>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</si>
  <si>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</si>
  <si>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</si>
  <si>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</si>
  <si>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</si>
  <si>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</si>
  <si>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</si>
  <si>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</si>
  <si>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</si>
  <si>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</si>
  <si>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</si>
  <si>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</si>
  <si>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</si>
  <si>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</si>
  <si>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</si>
  <si>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</si>
  <si>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</si>
  <si>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</si>
  <si>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</si>
  <si>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</si>
  <si>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</si>
  <si>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</si>
  <si>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</si>
  <si>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</si>
  <si>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</si>
  <si>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</si>
  <si>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</si>
  <si>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</si>
  <si>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</si>
  <si>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</si>
  <si>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</si>
  <si>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</si>
  <si>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</si>
  <si>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</si>
  <si>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</si>
  <si>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</si>
  <si>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</si>
  <si>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</si>
  <si>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</si>
  <si>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</si>
  <si>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</si>
  <si>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</si>
  <si>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</si>
  <si>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</si>
  <si>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</si>
  <si>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</si>
  <si>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</si>
  <si>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</si>
  <si>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</si>
  <si>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</si>
  <si>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</si>
  <si>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</si>
  <si>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</si>
  <si>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</si>
  <si>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</si>
  <si>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</si>
  <si>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</si>
  <si>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</si>
  <si>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</si>
  <si>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</si>
  <si>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</si>
  <si>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</si>
  <si>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</si>
  <si>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</si>
  <si>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</si>
  <si>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</si>
  <si>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</si>
  <si>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</si>
  <si>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</si>
  <si>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</si>
  <si>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</si>
  <si>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</si>
  <si>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</si>
  <si>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</si>
  <si>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</si>
  <si>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</si>
  <si>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</si>
  <si>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</si>
  <si>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</si>
  <si>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</si>
  <si>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</si>
  <si>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</si>
  <si>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</si>
  <si>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</si>
  <si>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</si>
  <si>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</si>
  <si>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</si>
  <si>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</si>
  <si>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</si>
  <si>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</si>
  <si>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</si>
  <si>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</si>
  <si>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</si>
  <si>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</si>
  <si>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</si>
  <si>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</si>
  <si>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</si>
  <si>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</si>
  <si>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</si>
  <si>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</si>
  <si>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</si>
  <si>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</si>
  <si>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</si>
  <si>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</si>
  <si>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</si>
  <si>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</si>
  <si>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</si>
  <si>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</si>
  <si>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</si>
  <si>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</si>
  <si>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</si>
  <si>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</si>
  <si>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</si>
  <si>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</si>
  <si>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</si>
  <si>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</si>
  <si>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</si>
  <si>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</si>
  <si>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</si>
  <si>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</si>
  <si>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</si>
  <si>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</si>
  <si>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</si>
  <si>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</si>
  <si>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</si>
  <si>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</si>
  <si>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</si>
  <si>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</si>
  <si>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</si>
  <si>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</si>
  <si>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</si>
  <si>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</si>
  <si>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</si>
  <si>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</si>
  <si>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</si>
  <si>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</si>
  <si>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</si>
  <si>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</si>
  <si>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</si>
  <si>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</si>
  <si>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</si>
  <si>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</si>
  <si>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</si>
  <si>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</si>
  <si>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</si>
  <si>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</si>
  <si>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</si>
  <si>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</si>
  <si>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</si>
  <si>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</si>
  <si>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</si>
  <si>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</si>
  <si>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</si>
  <si>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</si>
  <si>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</si>
  <si>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</si>
  <si>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</si>
  <si>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</si>
  <si>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</si>
  <si>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</si>
  <si>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</si>
  <si>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</si>
  <si>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</si>
  <si>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</si>
  <si>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</si>
  <si>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</si>
  <si>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</si>
  <si>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</si>
  <si>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</si>
  <si>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</si>
  <si>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</si>
  <si>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</si>
  <si>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</si>
  <si>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</si>
  <si>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</si>
  <si>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</si>
  <si>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</si>
  <si>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</si>
  <si>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</si>
  <si>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</si>
  <si>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</si>
  <si>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</si>
  <si>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</si>
  <si>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</si>
  <si>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</si>
  <si>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</si>
  <si>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</si>
  <si>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</si>
  <si>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</si>
  <si>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</si>
  <si>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</si>
  <si>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</si>
  <si>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</si>
  <si>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</si>
  <si>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</si>
  <si>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</si>
  <si>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</si>
  <si>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</si>
  <si>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</si>
  <si>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</si>
  <si>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</si>
  <si>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</si>
  <si>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</si>
  <si>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</si>
  <si>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</si>
  <si>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</si>
  <si>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</si>
  <si>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</si>
  <si>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</si>
  <si>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</si>
  <si>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</si>
  <si>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</si>
  <si>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</si>
  <si>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</si>
  <si>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</si>
  <si>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</si>
  <si>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</si>
  <si>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</si>
  <si>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</si>
  <si>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</si>
  <si>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</si>
  <si>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</si>
  <si>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</si>
  <si>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</si>
  <si>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</si>
  <si>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</si>
  <si>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</si>
  <si>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</si>
  <si>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</si>
  <si>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</si>
  <si>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</si>
  <si>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</si>
  <si>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</si>
  <si>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</si>
  <si>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</si>
  <si>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</si>
  <si>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</si>
  <si>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</si>
  <si>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</si>
  <si>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</si>
  <si>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</si>
  <si>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</si>
  <si>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</si>
  <si>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</si>
  <si>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</si>
  <si>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</si>
  <si>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</si>
  <si>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</si>
  <si>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</si>
  <si>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</si>
  <si>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</si>
  <si>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</si>
  <si>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</si>
  <si>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</si>
  <si>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</si>
  <si>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</si>
  <si>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</si>
  <si>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</si>
  <si>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</si>
  <si>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</si>
  <si>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</si>
  <si>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</si>
  <si>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</si>
  <si>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</si>
  <si>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</si>
  <si>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</si>
  <si>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</si>
  <si>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</si>
  <si>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</si>
  <si>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</si>
  <si>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</si>
  <si>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</si>
  <si>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</si>
  <si>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</si>
  <si>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</si>
  <si>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</si>
  <si>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</si>
  <si>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</si>
  <si>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</si>
  <si>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</si>
  <si>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</si>
  <si>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</si>
  <si>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</si>
  <si>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</si>
  <si>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</si>
  <si>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</si>
  <si>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</si>
  <si>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</si>
  <si>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</si>
  <si>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</si>
  <si>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</si>
  <si>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</si>
  <si>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</si>
  <si>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</si>
  <si>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</si>
  <si>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</si>
  <si>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</si>
  <si>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</si>
  <si>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</si>
  <si>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</si>
  <si>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</si>
  <si>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</si>
  <si>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</si>
  <si>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</si>
  <si>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</si>
  <si>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</si>
  <si>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</si>
  <si>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</si>
  <si>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</si>
  <si>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</si>
  <si>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</si>
  <si>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</si>
  <si>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</si>
  <si>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</si>
  <si>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</si>
  <si>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</si>
  <si>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</si>
  <si>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</si>
  <si>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</si>
  <si>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</si>
  <si>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</si>
  <si>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</si>
  <si>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</si>
  <si>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</si>
  <si>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</si>
  <si>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</si>
  <si>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</si>
  <si>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</si>
  <si>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</si>
  <si>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</si>
  <si>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</si>
  <si>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</si>
  <si>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</si>
  <si>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</si>
  <si>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</si>
  <si>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</si>
  <si>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</si>
  <si>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</si>
  <si>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</si>
  <si>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</si>
  <si>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</si>
  <si>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</si>
  <si>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</si>
  <si>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</si>
  <si>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</si>
  <si>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</si>
  <si>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</si>
  <si>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</si>
  <si>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</si>
  <si>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</si>
  <si>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</si>
  <si>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</si>
  <si>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</si>
  <si>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</si>
  <si>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</si>
  <si>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</si>
  <si>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</si>
  <si>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</si>
  <si>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</si>
  <si>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</si>
  <si>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</si>
  <si>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</si>
  <si>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</si>
  <si>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</si>
  <si>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</si>
  <si>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</si>
  <si>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</si>
  <si>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</si>
  <si>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</si>
  <si>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</si>
  <si>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</si>
  <si>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</si>
  <si>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</si>
  <si>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</si>
  <si>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</si>
  <si>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</si>
  <si>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</si>
  <si>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</si>
  <si>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</si>
  <si>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</si>
  <si>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</si>
  <si>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</si>
  <si>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</si>
  <si>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</si>
  <si>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</si>
  <si>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</si>
  <si>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</si>
  <si>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</si>
  <si>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</si>
  <si>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</si>
  <si>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</si>
  <si>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</si>
  <si>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</si>
  <si>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</si>
  <si>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</si>
  <si>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</si>
  <si>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</si>
  <si>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</si>
  <si>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</si>
  <si>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</si>
  <si>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</si>
  <si>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</si>
  <si>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</si>
  <si>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</si>
  <si>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</si>
  <si>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</si>
  <si>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</si>
  <si>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</si>
  <si>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</si>
  <si>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</si>
  <si>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</si>
  <si>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</si>
  <si>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</si>
  <si>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</si>
  <si>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</si>
  <si>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</si>
  <si>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</si>
  <si>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</si>
  <si>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</si>
  <si>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</si>
  <si>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</si>
  <si>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</si>
  <si>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</si>
  <si>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</si>
  <si>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</si>
  <si>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</si>
  <si>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</si>
  <si>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</si>
  <si>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</si>
  <si>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</si>
  <si>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</si>
  <si>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</si>
  <si>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</si>
  <si>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</si>
  <si>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</si>
  <si>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</si>
  <si>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</si>
  <si>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</si>
  <si>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</si>
  <si>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</si>
  <si>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</si>
  <si>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</si>
  <si>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</si>
  <si>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</si>
  <si>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</si>
  <si>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</si>
  <si>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</si>
  <si>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</si>
  <si>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</si>
  <si>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</si>
  <si>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</si>
  <si>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</si>
  <si>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</si>
  <si>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</si>
  <si>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</si>
  <si>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</si>
  <si>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</si>
  <si>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</si>
  <si>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</si>
  <si>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</si>
  <si>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</si>
  <si>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</si>
  <si>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</si>
  <si>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</si>
  <si>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</si>
  <si>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</si>
  <si>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</si>
  <si>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</si>
  <si>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</si>
  <si>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</si>
  <si>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</si>
  <si>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</si>
  <si>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</si>
  <si>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</si>
  <si>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</si>
  <si>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</si>
  <si>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</si>
  <si>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</si>
  <si>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</si>
  <si>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</si>
  <si>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</si>
  <si>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</si>
  <si>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</si>
  <si>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</si>
  <si>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</si>
  <si>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</si>
  <si>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</si>
  <si>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</si>
  <si>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</si>
  <si>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</si>
  <si>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</si>
  <si>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</si>
  <si>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</si>
  <si>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</si>
  <si>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</si>
  <si>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</si>
  <si>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46024</t>
  </si>
  <si>
    <t>STEKENE</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</si>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</sst>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A4306AE3-1C9A-457B-97E5-C28F092CEEA2}"/>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46024</v>
      </c>
      <c r="B6" s="382"/>
      <c r="C6" s="383"/>
    </row>
    <row r="7" spans="1:7" s="380" customFormat="1" ht="15.75" customHeight="1">
      <c r="A7" s="384" t="str">
        <f>txtMunicipality</f>
        <v>STEKENE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0.21280319670556547</v>
      </c>
      <c r="C17" s="494">
        <f ca="1">'EF ele_warmte'!B22</f>
        <v>0.23764705882352941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0.21280319670556547</v>
      </c>
      <c r="C29" s="495">
        <f ca="1">'EF ele_warmte'!B22</f>
        <v>0.23764705882352941</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7131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2066</v>
      </c>
      <c r="C14" s="324"/>
      <c r="D14" s="324"/>
      <c r="E14" s="324"/>
      <c r="F14" s="324"/>
    </row>
    <row r="15" spans="1:6">
      <c r="A15" s="1235" t="s">
        <v>177</v>
      </c>
      <c r="B15" s="1236">
        <v>18</v>
      </c>
      <c r="C15" s="324"/>
      <c r="D15" s="324"/>
      <c r="E15" s="324"/>
      <c r="F15" s="324"/>
    </row>
    <row r="16" spans="1:6">
      <c r="A16" s="1235" t="s">
        <v>6</v>
      </c>
      <c r="B16" s="1236">
        <v>538</v>
      </c>
      <c r="C16" s="324"/>
      <c r="D16" s="324"/>
      <c r="E16" s="324"/>
      <c r="F16" s="324"/>
    </row>
    <row r="17" spans="1:6">
      <c r="A17" s="1235" t="s">
        <v>7</v>
      </c>
      <c r="B17" s="1236">
        <v>811</v>
      </c>
      <c r="C17" s="324"/>
      <c r="D17" s="324"/>
      <c r="E17" s="324"/>
      <c r="F17" s="324"/>
    </row>
    <row r="18" spans="1:6">
      <c r="A18" s="1235" t="s">
        <v>8</v>
      </c>
      <c r="B18" s="1236">
        <v>1119</v>
      </c>
      <c r="C18" s="324"/>
      <c r="D18" s="324"/>
      <c r="E18" s="324"/>
      <c r="F18" s="324"/>
    </row>
    <row r="19" spans="1:6">
      <c r="A19" s="1235" t="s">
        <v>9</v>
      </c>
      <c r="B19" s="1236">
        <v>975</v>
      </c>
      <c r="C19" s="324"/>
      <c r="D19" s="324"/>
      <c r="E19" s="324"/>
      <c r="F19" s="324"/>
    </row>
    <row r="20" spans="1:6">
      <c r="A20" s="1235" t="s">
        <v>10</v>
      </c>
      <c r="B20" s="1236">
        <v>472</v>
      </c>
      <c r="C20" s="324"/>
      <c r="D20" s="324"/>
      <c r="E20" s="324"/>
      <c r="F20" s="324"/>
    </row>
    <row r="21" spans="1:6">
      <c r="A21" s="1235" t="s">
        <v>11</v>
      </c>
      <c r="B21" s="1236">
        <v>5362</v>
      </c>
      <c r="C21" s="324"/>
      <c r="D21" s="324"/>
      <c r="E21" s="324"/>
      <c r="F21" s="324"/>
    </row>
    <row r="22" spans="1:6">
      <c r="A22" s="1235" t="s">
        <v>12</v>
      </c>
      <c r="B22" s="1236">
        <v>16755</v>
      </c>
      <c r="C22" s="324"/>
      <c r="D22" s="324"/>
      <c r="E22" s="324"/>
      <c r="F22" s="324"/>
    </row>
    <row r="23" spans="1:6">
      <c r="A23" s="1235" t="s">
        <v>13</v>
      </c>
      <c r="B23" s="1236">
        <v>204</v>
      </c>
      <c r="C23" s="324"/>
      <c r="D23" s="324"/>
      <c r="E23" s="324"/>
      <c r="F23" s="324"/>
    </row>
    <row r="24" spans="1:6">
      <c r="A24" s="1235" t="s">
        <v>14</v>
      </c>
      <c r="B24" s="1236">
        <v>9</v>
      </c>
      <c r="C24" s="324"/>
      <c r="D24" s="324"/>
      <c r="E24" s="324"/>
      <c r="F24" s="324"/>
    </row>
    <row r="25" spans="1:6">
      <c r="A25" s="1235" t="s">
        <v>15</v>
      </c>
      <c r="B25" s="1236">
        <v>1543</v>
      </c>
      <c r="C25" s="324"/>
      <c r="D25" s="324"/>
      <c r="E25" s="324"/>
      <c r="F25" s="324"/>
    </row>
    <row r="26" spans="1:6">
      <c r="A26" s="1235" t="s">
        <v>16</v>
      </c>
      <c r="B26" s="1236">
        <v>269</v>
      </c>
      <c r="C26" s="324"/>
      <c r="D26" s="324"/>
      <c r="E26" s="324"/>
      <c r="F26" s="324"/>
    </row>
    <row r="27" spans="1:6">
      <c r="A27" s="1235" t="s">
        <v>17</v>
      </c>
      <c r="B27" s="1236">
        <v>4</v>
      </c>
      <c r="C27" s="324"/>
      <c r="D27" s="324"/>
      <c r="E27" s="324"/>
      <c r="F27" s="324"/>
    </row>
    <row r="28" spans="1:6">
      <c r="A28" s="1235" t="s">
        <v>18</v>
      </c>
      <c r="B28" s="1237">
        <v>188058</v>
      </c>
      <c r="C28" s="324"/>
      <c r="D28" s="324"/>
      <c r="E28" s="324"/>
      <c r="F28" s="324"/>
    </row>
    <row r="29" spans="1:6">
      <c r="A29" s="1235" t="s">
        <v>959</v>
      </c>
      <c r="B29" s="1237">
        <v>130</v>
      </c>
      <c r="C29" s="324"/>
      <c r="D29" s="324"/>
      <c r="E29" s="324"/>
      <c r="F29" s="324"/>
    </row>
    <row r="30" spans="1:6">
      <c r="A30" s="1230" t="s">
        <v>960</v>
      </c>
      <c r="B30" s="1238">
        <v>36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4510.7881958537</v>
      </c>
    </row>
    <row r="39" spans="1:6">
      <c r="A39" s="1235" t="s">
        <v>29</v>
      </c>
      <c r="B39" s="1235" t="s">
        <v>30</v>
      </c>
      <c r="C39" s="1236">
        <v>4794</v>
      </c>
      <c r="D39" s="1236">
        <v>80012872.292905897</v>
      </c>
      <c r="E39" s="1236">
        <v>7343</v>
      </c>
      <c r="F39" s="1236">
        <v>31890472.590452854</v>
      </c>
    </row>
    <row r="40" spans="1:6">
      <c r="A40" s="1235" t="s">
        <v>29</v>
      </c>
      <c r="B40" s="1235" t="s">
        <v>28</v>
      </c>
      <c r="C40" s="1236">
        <v>0</v>
      </c>
      <c r="D40" s="1236">
        <v>0</v>
      </c>
      <c r="E40" s="1236">
        <v>0</v>
      </c>
      <c r="F40" s="1236">
        <v>0</v>
      </c>
    </row>
    <row r="41" spans="1:6">
      <c r="A41" s="1235" t="s">
        <v>31</v>
      </c>
      <c r="B41" s="1235" t="s">
        <v>32</v>
      </c>
      <c r="C41" s="1236">
        <v>48</v>
      </c>
      <c r="D41" s="1236">
        <v>1112770.70536814</v>
      </c>
      <c r="E41" s="1236">
        <v>152</v>
      </c>
      <c r="F41" s="1236">
        <v>1248016.0162620801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4</v>
      </c>
      <c r="F45" s="1236">
        <v>62871.546081792403</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23228.380178892799</v>
      </c>
    </row>
    <row r="48" spans="1:6">
      <c r="A48" s="1235" t="s">
        <v>31</v>
      </c>
      <c r="B48" s="1235" t="s">
        <v>28</v>
      </c>
      <c r="C48" s="1236">
        <v>27</v>
      </c>
      <c r="D48" s="1236">
        <v>1054922.57120228</v>
      </c>
      <c r="E48" s="1236">
        <v>28</v>
      </c>
      <c r="F48" s="1236">
        <v>1251832.8469082899</v>
      </c>
    </row>
    <row r="49" spans="1:6">
      <c r="A49" s="1235" t="s">
        <v>31</v>
      </c>
      <c r="B49" s="1235" t="s">
        <v>39</v>
      </c>
      <c r="C49" s="1236">
        <v>0</v>
      </c>
      <c r="D49" s="1236">
        <v>0</v>
      </c>
      <c r="E49" s="1236">
        <v>0</v>
      </c>
      <c r="F49" s="1236">
        <v>0</v>
      </c>
    </row>
    <row r="50" spans="1:6">
      <c r="A50" s="1235" t="s">
        <v>31</v>
      </c>
      <c r="B50" s="1235" t="s">
        <v>40</v>
      </c>
      <c r="C50" s="1236">
        <v>6</v>
      </c>
      <c r="D50" s="1236">
        <v>723109.69878934196</v>
      </c>
      <c r="E50" s="1236">
        <v>14</v>
      </c>
      <c r="F50" s="1236">
        <v>560173.29238474695</v>
      </c>
    </row>
    <row r="51" spans="1:6">
      <c r="A51" s="1235" t="s">
        <v>41</v>
      </c>
      <c r="B51" s="1235" t="s">
        <v>42</v>
      </c>
      <c r="C51" s="1236">
        <v>19</v>
      </c>
      <c r="D51" s="1236">
        <v>626332.56347848999</v>
      </c>
      <c r="E51" s="1236">
        <v>64</v>
      </c>
      <c r="F51" s="1236">
        <v>1280602.9634690401</v>
      </c>
    </row>
    <row r="52" spans="1:6">
      <c r="A52" s="1235" t="s">
        <v>41</v>
      </c>
      <c r="B52" s="1235" t="s">
        <v>28</v>
      </c>
      <c r="C52" s="1236">
        <v>1</v>
      </c>
      <c r="D52" s="1236">
        <v>26167519.900775202</v>
      </c>
      <c r="E52" s="1236">
        <v>5</v>
      </c>
      <c r="F52" s="1236">
        <v>103296.25438806201</v>
      </c>
    </row>
    <row r="53" spans="1:6">
      <c r="A53" s="1235" t="s">
        <v>43</v>
      </c>
      <c r="B53" s="1235" t="s">
        <v>44</v>
      </c>
      <c r="C53" s="1236">
        <v>236</v>
      </c>
      <c r="D53" s="1236">
        <v>4124944.6933344002</v>
      </c>
      <c r="E53" s="1236">
        <v>397</v>
      </c>
      <c r="F53" s="1236">
        <v>2034001.56244693</v>
      </c>
    </row>
    <row r="54" spans="1:6">
      <c r="A54" s="1235" t="s">
        <v>45</v>
      </c>
      <c r="B54" s="1235" t="s">
        <v>46</v>
      </c>
      <c r="C54" s="1236">
        <v>0</v>
      </c>
      <c r="D54" s="1236">
        <v>0</v>
      </c>
      <c r="E54" s="1236">
        <v>1</v>
      </c>
      <c r="F54" s="1236">
        <v>1135454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30</v>
      </c>
      <c r="D57" s="1236">
        <v>616163.14055388304</v>
      </c>
      <c r="E57" s="1236">
        <v>115</v>
      </c>
      <c r="F57" s="1236">
        <v>2146936.5349486601</v>
      </c>
    </row>
    <row r="58" spans="1:6">
      <c r="A58" s="1235" t="s">
        <v>48</v>
      </c>
      <c r="B58" s="1235" t="s">
        <v>50</v>
      </c>
      <c r="C58" s="1236">
        <v>9</v>
      </c>
      <c r="D58" s="1236">
        <v>678027.92862923897</v>
      </c>
      <c r="E58" s="1236">
        <v>14</v>
      </c>
      <c r="F58" s="1236">
        <v>141971.19658467401</v>
      </c>
    </row>
    <row r="59" spans="1:6">
      <c r="A59" s="1235" t="s">
        <v>48</v>
      </c>
      <c r="B59" s="1235" t="s">
        <v>51</v>
      </c>
      <c r="C59" s="1236">
        <v>84</v>
      </c>
      <c r="D59" s="1236">
        <v>3275653.3945300099</v>
      </c>
      <c r="E59" s="1236">
        <v>165</v>
      </c>
      <c r="F59" s="1236">
        <v>4937021.3987911399</v>
      </c>
    </row>
    <row r="60" spans="1:6">
      <c r="A60" s="1235" t="s">
        <v>48</v>
      </c>
      <c r="B60" s="1235" t="s">
        <v>52</v>
      </c>
      <c r="C60" s="1236">
        <v>45</v>
      </c>
      <c r="D60" s="1236">
        <v>2030938.99548397</v>
      </c>
      <c r="E60" s="1236">
        <v>53</v>
      </c>
      <c r="F60" s="1236">
        <v>1594543.27389291</v>
      </c>
    </row>
    <row r="61" spans="1:6">
      <c r="A61" s="1235" t="s">
        <v>48</v>
      </c>
      <c r="B61" s="1235" t="s">
        <v>53</v>
      </c>
      <c r="C61" s="1236">
        <v>86</v>
      </c>
      <c r="D61" s="1236">
        <v>5556456.2462525796</v>
      </c>
      <c r="E61" s="1236">
        <v>188</v>
      </c>
      <c r="F61" s="1236">
        <v>2820062.3777566398</v>
      </c>
    </row>
    <row r="62" spans="1:6">
      <c r="A62" s="1235" t="s">
        <v>48</v>
      </c>
      <c r="B62" s="1235" t="s">
        <v>54</v>
      </c>
      <c r="C62" s="1236">
        <v>6</v>
      </c>
      <c r="D62" s="1236">
        <v>1038648.4301142599</v>
      </c>
      <c r="E62" s="1236">
        <v>12</v>
      </c>
      <c r="F62" s="1236">
        <v>176031.80936209901</v>
      </c>
    </row>
    <row r="63" spans="1:6">
      <c r="A63" s="1235" t="s">
        <v>48</v>
      </c>
      <c r="B63" s="1235" t="s">
        <v>28</v>
      </c>
      <c r="C63" s="1236">
        <v>91</v>
      </c>
      <c r="D63" s="1236">
        <v>2870898.4243389601</v>
      </c>
      <c r="E63" s="1236">
        <v>113</v>
      </c>
      <c r="F63" s="1236">
        <v>2700986.8512266902</v>
      </c>
    </row>
    <row r="64" spans="1:6">
      <c r="A64" s="1235" t="s">
        <v>55</v>
      </c>
      <c r="B64" s="1235" t="s">
        <v>56</v>
      </c>
      <c r="C64" s="1236">
        <v>0</v>
      </c>
      <c r="D64" s="1236">
        <v>0</v>
      </c>
      <c r="E64" s="1236">
        <v>0</v>
      </c>
      <c r="F64" s="1236">
        <v>0</v>
      </c>
    </row>
    <row r="65" spans="1:6">
      <c r="A65" s="1235" t="s">
        <v>55</v>
      </c>
      <c r="B65" s="1235" t="s">
        <v>28</v>
      </c>
      <c r="C65" s="1236">
        <v>4</v>
      </c>
      <c r="D65" s="1236">
        <v>91090.813339352695</v>
      </c>
      <c r="E65" s="1236">
        <v>5</v>
      </c>
      <c r="F65" s="1236">
        <v>64892.235471701701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8</v>
      </c>
      <c r="D68" s="1238">
        <v>275665.07809141598</v>
      </c>
      <c r="E68" s="1238">
        <v>20</v>
      </c>
      <c r="F68" s="1238">
        <v>693488.79604624899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26601515</v>
      </c>
      <c r="E73" s="443"/>
      <c r="F73" s="324"/>
    </row>
    <row r="74" spans="1:6">
      <c r="A74" s="1235" t="s">
        <v>63</v>
      </c>
      <c r="B74" s="1235" t="s">
        <v>730</v>
      </c>
      <c r="C74" s="1248" t="s">
        <v>731</v>
      </c>
      <c r="D74" s="1236">
        <v>4598526.906450945</v>
      </c>
      <c r="E74" s="443"/>
      <c r="F74" s="324"/>
    </row>
    <row r="75" spans="1:6">
      <c r="A75" s="1235" t="s">
        <v>64</v>
      </c>
      <c r="B75" s="1235" t="s">
        <v>728</v>
      </c>
      <c r="C75" s="1248" t="s">
        <v>732</v>
      </c>
      <c r="D75" s="1236">
        <v>35417682</v>
      </c>
      <c r="E75" s="443"/>
      <c r="F75" s="324"/>
    </row>
    <row r="76" spans="1:6">
      <c r="A76" s="1235" t="s">
        <v>64</v>
      </c>
      <c r="B76" s="1235" t="s">
        <v>730</v>
      </c>
      <c r="C76" s="1248" t="s">
        <v>733</v>
      </c>
      <c r="D76" s="1236">
        <v>3102071.9064509445</v>
      </c>
      <c r="E76" s="443"/>
      <c r="F76" s="324"/>
    </row>
    <row r="77" spans="1:6">
      <c r="A77" s="1235" t="s">
        <v>65</v>
      </c>
      <c r="B77" s="1235" t="s">
        <v>728</v>
      </c>
      <c r="C77" s="1248" t="s">
        <v>734</v>
      </c>
      <c r="D77" s="1236">
        <v>62468211</v>
      </c>
      <c r="E77" s="443"/>
      <c r="F77" s="324"/>
    </row>
    <row r="78" spans="1:6">
      <c r="A78" s="1230" t="s">
        <v>65</v>
      </c>
      <c r="B78" s="1230" t="s">
        <v>730</v>
      </c>
      <c r="C78" s="1230" t="s">
        <v>735</v>
      </c>
      <c r="D78" s="1238">
        <v>15487806</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430350.18709811085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1891.6319252345932</v>
      </c>
      <c r="C91" s="324"/>
      <c r="D91" s="324"/>
      <c r="E91" s="324"/>
      <c r="F91" s="324"/>
    </row>
    <row r="92" spans="1:6">
      <c r="A92" s="1230" t="s">
        <v>68</v>
      </c>
      <c r="B92" s="1231">
        <v>715.14284265282356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3370</v>
      </c>
      <c r="C97" s="324"/>
      <c r="D97" s="324"/>
      <c r="E97" s="324"/>
      <c r="F97" s="324"/>
    </row>
    <row r="98" spans="1:6">
      <c r="A98" s="1235" t="s">
        <v>71</v>
      </c>
      <c r="B98" s="1236">
        <v>1</v>
      </c>
      <c r="C98" s="324"/>
      <c r="D98" s="324"/>
      <c r="E98" s="324"/>
      <c r="F98" s="324"/>
    </row>
    <row r="99" spans="1:6">
      <c r="A99" s="1235" t="s">
        <v>72</v>
      </c>
      <c r="B99" s="1236">
        <v>134</v>
      </c>
      <c r="C99" s="324"/>
      <c r="D99" s="324"/>
      <c r="E99" s="324"/>
      <c r="F99" s="324"/>
    </row>
    <row r="100" spans="1:6">
      <c r="A100" s="1235" t="s">
        <v>73</v>
      </c>
      <c r="B100" s="1236">
        <v>520</v>
      </c>
      <c r="C100" s="324"/>
      <c r="D100" s="324"/>
      <c r="E100" s="324"/>
      <c r="F100" s="324"/>
    </row>
    <row r="101" spans="1:6">
      <c r="A101" s="1235" t="s">
        <v>74</v>
      </c>
      <c r="B101" s="1236">
        <v>149</v>
      </c>
      <c r="C101" s="324"/>
      <c r="D101" s="324"/>
      <c r="E101" s="324"/>
      <c r="F101" s="324"/>
    </row>
    <row r="102" spans="1:6">
      <c r="A102" s="1235" t="s">
        <v>75</v>
      </c>
      <c r="B102" s="1236">
        <v>177</v>
      </c>
      <c r="C102" s="324"/>
      <c r="D102" s="324"/>
      <c r="E102" s="324"/>
      <c r="F102" s="324"/>
    </row>
    <row r="103" spans="1:6">
      <c r="A103" s="1235" t="s">
        <v>76</v>
      </c>
      <c r="B103" s="1236">
        <v>199</v>
      </c>
      <c r="C103" s="324"/>
      <c r="D103" s="324"/>
      <c r="E103" s="324"/>
      <c r="F103" s="324"/>
    </row>
    <row r="104" spans="1:6">
      <c r="A104" s="1235" t="s">
        <v>77</v>
      </c>
      <c r="B104" s="1236">
        <v>1749</v>
      </c>
      <c r="C104" s="324"/>
      <c r="D104" s="324"/>
      <c r="E104" s="324"/>
      <c r="F104" s="324"/>
    </row>
    <row r="105" spans="1:6">
      <c r="A105" s="1230" t="s">
        <v>78</v>
      </c>
      <c r="B105" s="123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3</v>
      </c>
      <c r="C123" s="1236">
        <v>7</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43</v>
      </c>
      <c r="C129" s="324"/>
      <c r="D129" s="324"/>
      <c r="E129" s="324"/>
      <c r="F129" s="324"/>
    </row>
    <row r="130" spans="1:6">
      <c r="A130" s="1235" t="s">
        <v>284</v>
      </c>
      <c r="B130" s="1236">
        <v>2</v>
      </c>
      <c r="C130" s="324"/>
      <c r="D130" s="324"/>
      <c r="E130" s="324"/>
      <c r="F130" s="324"/>
    </row>
    <row r="131" spans="1:6">
      <c r="A131" s="1235" t="s">
        <v>285</v>
      </c>
      <c r="B131" s="1236">
        <v>0</v>
      </c>
      <c r="C131" s="324"/>
      <c r="D131" s="324"/>
      <c r="E131" s="324"/>
      <c r="F131" s="324"/>
    </row>
    <row r="132" spans="1:6">
      <c r="A132" s="1230" t="s">
        <v>286</v>
      </c>
      <c r="B132" s="1231">
        <v>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56007.815576621098</v>
      </c>
      <c r="C3" s="43" t="s">
        <v>163</v>
      </c>
      <c r="D3" s="43"/>
      <c r="E3" s="155"/>
      <c r="F3" s="43"/>
      <c r="G3" s="43"/>
      <c r="H3" s="43"/>
      <c r="I3" s="43"/>
      <c r="J3" s="43"/>
      <c r="K3" s="96"/>
    </row>
    <row r="4" spans="1:11">
      <c r="A4" s="350" t="s">
        <v>164</v>
      </c>
      <c r="B4" s="49">
        <f>IF(ISERROR('SEAP template'!B78+'SEAP template'!C78),0,'SEAP template'!B78+'SEAP template'!C78)</f>
        <v>9635.7747678874166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1670.4211764705885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0.21280319670556547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2386.3159663865549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10041.428571428572</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1135.454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1135.454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0.21280319670556547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241.62824091212113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31890.472590452853</v>
      </c>
      <c r="C5" s="17">
        <f>IF(ISERROR('Eigen informatie GS &amp; warmtenet'!B57),0,'Eigen informatie GS &amp; warmtenet'!B57)</f>
        <v>0</v>
      </c>
      <c r="D5" s="30">
        <f>(SUM(HH_hh_gas_kWh,HH_rest_gas_kWh)/1000)*0.902</f>
        <v>72171.61080820112</v>
      </c>
      <c r="E5" s="17">
        <f>B32*B41</f>
        <v>1238.9030059701777</v>
      </c>
      <c r="F5" s="17">
        <f>B36*B45</f>
        <v>42289.205367208786</v>
      </c>
      <c r="G5" s="18"/>
      <c r="H5" s="17"/>
      <c r="I5" s="17"/>
      <c r="J5" s="17">
        <f>B35*B44+C35*C44</f>
        <v>952.24568958919576</v>
      </c>
      <c r="K5" s="17"/>
      <c r="L5" s="17"/>
      <c r="M5" s="17"/>
      <c r="N5" s="17">
        <f>B34*B43+C34*C43</f>
        <v>8460.9811674596749</v>
      </c>
      <c r="O5" s="17">
        <f>B52*B53*B54</f>
        <v>78.166666666666671</v>
      </c>
      <c r="P5" s="17">
        <f>B60*B61*B62/1000-B60*B61*B62/1000/B63</f>
        <v>190.66666666666669</v>
      </c>
    </row>
    <row r="6" spans="1:16">
      <c r="A6" s="16" t="s">
        <v>591</v>
      </c>
      <c r="B6" s="727">
        <f>kWh_PV_kleiner_dan_10kW</f>
        <v>1891.6319252345932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33782.104515687446</v>
      </c>
      <c r="C8" s="21">
        <f>C5</f>
        <v>0</v>
      </c>
      <c r="D8" s="21">
        <f>D5</f>
        <v>72171.61080820112</v>
      </c>
      <c r="E8" s="21">
        <f>E5</f>
        <v>1238.9030059701777</v>
      </c>
      <c r="F8" s="21">
        <f>F5</f>
        <v>42289.205367208786</v>
      </c>
      <c r="G8" s="21"/>
      <c r="H8" s="21"/>
      <c r="I8" s="21"/>
      <c r="J8" s="21">
        <f>J5</f>
        <v>952.24568958919576</v>
      </c>
      <c r="K8" s="21"/>
      <c r="L8" s="21">
        <f>L5</f>
        <v>0</v>
      </c>
      <c r="M8" s="21">
        <f>M5</f>
        <v>0</v>
      </c>
      <c r="N8" s="21">
        <f>N5</f>
        <v>8460.9811674596749</v>
      </c>
      <c r="O8" s="21">
        <f>O5</f>
        <v>78.166666666666671</v>
      </c>
      <c r="P8" s="21">
        <f>P5</f>
        <v>190.66666666666669</v>
      </c>
    </row>
    <row r="9" spans="1:16">
      <c r="B9" s="19"/>
      <c r="C9" s="19"/>
      <c r="D9" s="255"/>
      <c r="E9" s="19"/>
      <c r="F9" s="19"/>
      <c r="G9" s="19"/>
      <c r="H9" s="19"/>
      <c r="I9" s="19"/>
      <c r="J9" s="19"/>
      <c r="K9" s="19"/>
      <c r="L9" s="19"/>
      <c r="M9" s="19"/>
      <c r="N9" s="19"/>
      <c r="O9" s="19"/>
      <c r="P9" s="19"/>
    </row>
    <row r="10" spans="1:16">
      <c r="A10" s="24" t="s">
        <v>207</v>
      </c>
      <c r="B10" s="25">
        <f ca="1">'EF ele_warmte'!B12</f>
        <v>0.21280319670556547</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7188.9398323798068</v>
      </c>
      <c r="C12" s="23">
        <f ca="1">C10*C8</f>
        <v>0</v>
      </c>
      <c r="D12" s="23">
        <f>D8*D10</f>
        <v>14578.665383256626</v>
      </c>
      <c r="E12" s="23">
        <f>E10*E8</f>
        <v>281.23098235523037</v>
      </c>
      <c r="F12" s="23">
        <f>F10*F8</f>
        <v>11291.217833044746</v>
      </c>
      <c r="G12" s="23"/>
      <c r="H12" s="23"/>
      <c r="I12" s="23"/>
      <c r="J12" s="23">
        <f>J10*J8</f>
        <v>337.09497411457528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7131</v>
      </c>
      <c r="C26" s="36"/>
      <c r="D26" s="225"/>
    </row>
    <row r="27" spans="1:5" s="15" customFormat="1">
      <c r="A27" s="227" t="s">
        <v>671</v>
      </c>
      <c r="B27" s="37">
        <f>SUM(HH_hh_gas_aantal,HH_rest_gas_aantal)</f>
        <v>4794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4554.3</v>
      </c>
      <c r="C31" s="34" t="s">
        <v>104</v>
      </c>
      <c r="D31" s="171"/>
    </row>
    <row r="32" spans="1:5">
      <c r="A32" s="168" t="s">
        <v>72</v>
      </c>
      <c r="B32" s="33">
        <f>IF((B21*($B$26-($B$27-0.05*$B$27)-$B$60))&lt;0,0,B21*($B$26-($B$27-0.05*$B$27)-$B$60))</f>
        <v>18.196795857337563</v>
      </c>
      <c r="C32" s="34" t="s">
        <v>104</v>
      </c>
      <c r="D32" s="171"/>
    </row>
    <row r="33" spans="1:6">
      <c r="A33" s="168" t="s">
        <v>73</v>
      </c>
      <c r="B33" s="33">
        <f>IF((B22*($B$26-($B$27-0.05*$B$27)-$B$60))&lt;0,0,B22*($B$26-($B$27-0.05*$B$27)-$B$60))</f>
        <v>521.51769351675614</v>
      </c>
      <c r="C33" s="34" t="s">
        <v>104</v>
      </c>
      <c r="D33" s="171"/>
    </row>
    <row r="34" spans="1:6">
      <c r="A34" s="168" t="s">
        <v>74</v>
      </c>
      <c r="B34" s="33">
        <f>IF((B24*($B$26-($B$27-0.05*$B$27)-$B$60))&lt;0,0,B24*($B$26-($B$27-0.05*$B$27)-$B$60))</f>
        <v>103.99613965264469</v>
      </c>
      <c r="C34" s="33">
        <f>B26*C24</f>
        <v>1458.1298706396244</v>
      </c>
      <c r="D34" s="230"/>
    </row>
    <row r="35" spans="1:6">
      <c r="A35" s="168" t="s">
        <v>76</v>
      </c>
      <c r="B35" s="33">
        <f>IF((B19*($B$26-($B$27-0.05*$B$27)-$B$60))&lt;0,0,B19*($B$26-($B$27-0.05*$B$27)-$B$60))</f>
        <v>54.157130527790365</v>
      </c>
      <c r="C35" s="33">
        <f>B35/2</f>
        <v>27.078565263895182</v>
      </c>
      <c r="D35" s="230"/>
    </row>
    <row r="36" spans="1:6">
      <c r="A36" s="168" t="s">
        <v>77</v>
      </c>
      <c r="B36" s="33">
        <f>IF((B18*($B$26-($B$27-0.05*$B$27)-$B$60))&lt;0,0,B18*($B$26-($B$27-0.05*$B$27)-$B$60))</f>
        <v>1868.8322404454709</v>
      </c>
      <c r="C36" s="34" t="s">
        <v>104</v>
      </c>
      <c r="D36" s="171"/>
    </row>
    <row r="37" spans="1:6">
      <c r="A37" s="168" t="s">
        <v>78</v>
      </c>
      <c r="B37" s="33">
        <f>B60</f>
        <v>10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14517.553442562814</v>
      </c>
      <c r="C5" s="17">
        <f>IF(ISERROR('Eigen informatie GS &amp; warmtenet'!B58),0,'Eigen informatie GS &amp; warmtenet'!B58)</f>
        <v>0</v>
      </c>
      <c r="D5" s="30">
        <f>SUM(D6:D12)</f>
        <v>14492.241477032419</v>
      </c>
      <c r="E5" s="17">
        <f>SUM(E6:E12)</f>
        <v>281.12581057467298</v>
      </c>
      <c r="F5" s="17">
        <f>SUM(F6:F12)</f>
        <v>2791.2583854045115</v>
      </c>
      <c r="G5" s="18"/>
      <c r="H5" s="17"/>
      <c r="I5" s="17"/>
      <c r="J5" s="17">
        <f>SUM(J6:J12)</f>
        <v>0</v>
      </c>
      <c r="K5" s="17"/>
      <c r="L5" s="17"/>
      <c r="M5" s="17"/>
      <c r="N5" s="17">
        <f>SUM(N6:N12)</f>
        <v>573.4949799968249</v>
      </c>
      <c r="O5" s="17">
        <f>B38*B39*B40</f>
        <v>3.1266666666666669</v>
      </c>
      <c r="P5" s="17">
        <f>B46*B47*B48/1000-B46*B47*B48/1000/B49</f>
        <v>0</v>
      </c>
      <c r="R5" s="32"/>
    </row>
    <row r="6" spans="1:18">
      <c r="A6" s="32" t="s">
        <v>53</v>
      </c>
      <c r="B6" s="37">
        <f>B26</f>
        <v>2820.0623777566398</v>
      </c>
      <c r="C6" s="33"/>
      <c r="D6" s="37">
        <f>IF(ISERROR(TER_kantoor_gas_kWh/1000),0,TER_kantoor_gas_kWh/1000)*0.902</f>
        <v>5011.9235341198273</v>
      </c>
      <c r="E6" s="33">
        <f>$C$26*'E Balans VL '!I12/100/3.6*1000000</f>
        <v>97.551628647296681</v>
      </c>
      <c r="F6" s="33">
        <f>$C$26*('E Balans VL '!L12+'E Balans VL '!N12)/100/3.6*1000000</f>
        <v>430.51246668294755</v>
      </c>
      <c r="G6" s="34"/>
      <c r="H6" s="33"/>
      <c r="I6" s="33"/>
      <c r="J6" s="33">
        <f>$C$26*('E Balans VL '!D12+'E Balans VL '!E12)/100/3.6*1000000</f>
        <v>0</v>
      </c>
      <c r="K6" s="33"/>
      <c r="L6" s="33"/>
      <c r="M6" s="33"/>
      <c r="N6" s="33">
        <f>$C$26*'E Balans VL '!Y12/100/3.6*1000000</f>
        <v>43.472602117552732</v>
      </c>
      <c r="O6" s="33"/>
      <c r="P6" s="33"/>
      <c r="R6" s="32"/>
    </row>
    <row r="7" spans="1:18">
      <c r="A7" s="32" t="s">
        <v>52</v>
      </c>
      <c r="B7" s="37">
        <f t="shared" ref="B7:B12" si="0">B27</f>
        <v>1594.5432738929101</v>
      </c>
      <c r="C7" s="33"/>
      <c r="D7" s="37">
        <f>IF(ISERROR(TER_horeca_gas_kWh/1000),0,TER_horeca_gas_kWh/1000)*0.902</f>
        <v>1831.906973926541</v>
      </c>
      <c r="E7" s="33">
        <f>$C$27*'E Balans VL '!I9/100/3.6*1000000</f>
        <v>87.386038282770585</v>
      </c>
      <c r="F7" s="33">
        <f>$C$27*('E Balans VL '!L9+'E Balans VL '!N9)/100/3.6*1000000</f>
        <v>269.85005917508488</v>
      </c>
      <c r="G7" s="34"/>
      <c r="H7" s="33"/>
      <c r="I7" s="33"/>
      <c r="J7" s="33">
        <f>$C$27*('E Balans VL '!D9+'E Balans VL '!E9)/100/3.6*1000000</f>
        <v>0</v>
      </c>
      <c r="K7" s="33"/>
      <c r="L7" s="33"/>
      <c r="M7" s="33"/>
      <c r="N7" s="33">
        <f>$C$27*'E Balans VL '!Y9/100/3.6*1000000</f>
        <v>0</v>
      </c>
      <c r="O7" s="33"/>
      <c r="P7" s="33"/>
      <c r="R7" s="32"/>
    </row>
    <row r="8" spans="1:18">
      <c r="A8" s="6" t="s">
        <v>51</v>
      </c>
      <c r="B8" s="37">
        <f t="shared" si="0"/>
        <v>4937.0213987911402</v>
      </c>
      <c r="C8" s="33"/>
      <c r="D8" s="37">
        <f>IF(ISERROR(TER_handel_gas_kWh/1000),0,TER_handel_gas_kWh/1000)*0.902</f>
        <v>2954.6393618660691</v>
      </c>
      <c r="E8" s="33">
        <f>$C$28*'E Balans VL '!I13/100/3.6*1000000</f>
        <v>24.977234250144427</v>
      </c>
      <c r="F8" s="33">
        <f>$C$28*('E Balans VL '!L13+'E Balans VL '!N13)/100/3.6*1000000</f>
        <v>750.14178800876198</v>
      </c>
      <c r="G8" s="34"/>
      <c r="H8" s="33"/>
      <c r="I8" s="33"/>
      <c r="J8" s="33">
        <f>$C$28*('E Balans VL '!D13+'E Balans VL '!E13)/100/3.6*1000000</f>
        <v>0</v>
      </c>
      <c r="K8" s="33"/>
      <c r="L8" s="33"/>
      <c r="M8" s="33"/>
      <c r="N8" s="33">
        <f>$C$28*'E Balans VL '!Y13/100/3.6*1000000</f>
        <v>2.3086833665939457</v>
      </c>
      <c r="O8" s="33"/>
      <c r="P8" s="33"/>
      <c r="R8" s="32"/>
    </row>
    <row r="9" spans="1:18">
      <c r="A9" s="32" t="s">
        <v>50</v>
      </c>
      <c r="B9" s="37">
        <f t="shared" si="0"/>
        <v>141.971196584674</v>
      </c>
      <c r="C9" s="33"/>
      <c r="D9" s="37">
        <f>IF(ISERROR(TER_gezond_gas_kWh/1000),0,TER_gezond_gas_kWh/1000)*0.902</f>
        <v>611.58119162357355</v>
      </c>
      <c r="E9" s="33">
        <f>$C$29*'E Balans VL '!I10/100/3.6*1000000</f>
        <v>5.1627209377001972E-2</v>
      </c>
      <c r="F9" s="33">
        <f>$C$29*('E Balans VL '!L10+'E Balans VL '!N10)/100/3.6*1000000</f>
        <v>30.676139214085758</v>
      </c>
      <c r="G9" s="34"/>
      <c r="H9" s="33"/>
      <c r="I9" s="33"/>
      <c r="J9" s="33">
        <f>$C$29*('E Balans VL '!D10+'E Balans VL '!E10)/100/3.6*1000000</f>
        <v>0</v>
      </c>
      <c r="K9" s="33"/>
      <c r="L9" s="33"/>
      <c r="M9" s="33"/>
      <c r="N9" s="33">
        <f>$C$29*'E Balans VL '!Y10/100/3.6*1000000</f>
        <v>1.07646450934974</v>
      </c>
      <c r="O9" s="33"/>
      <c r="P9" s="33"/>
      <c r="R9" s="32"/>
    </row>
    <row r="10" spans="1:18">
      <c r="A10" s="32" t="s">
        <v>49</v>
      </c>
      <c r="B10" s="37">
        <f t="shared" si="0"/>
        <v>2146.9365349486602</v>
      </c>
      <c r="C10" s="33"/>
      <c r="D10" s="37">
        <f>IF(ISERROR(TER_ander_gas_kWh/1000),0,TER_ander_gas_kWh/1000)*0.902</f>
        <v>555.77915277960255</v>
      </c>
      <c r="E10" s="33">
        <f>$C$30*'E Balans VL '!I14/100/3.6*1000000</f>
        <v>13.069795451179221</v>
      </c>
      <c r="F10" s="33">
        <f>$C$30*('E Balans VL '!L14+'E Balans VL '!N14)/100/3.6*1000000</f>
        <v>568.40021754339568</v>
      </c>
      <c r="G10" s="34"/>
      <c r="H10" s="33"/>
      <c r="I10" s="33"/>
      <c r="J10" s="33">
        <f>$C$30*('E Balans VL '!D14+'E Balans VL '!E14)/100/3.6*1000000</f>
        <v>0</v>
      </c>
      <c r="K10" s="33"/>
      <c r="L10" s="33"/>
      <c r="M10" s="33"/>
      <c r="N10" s="33">
        <f>$C$30*'E Balans VL '!Y14/100/3.6*1000000</f>
        <v>447.15120213871188</v>
      </c>
      <c r="O10" s="33"/>
      <c r="P10" s="33"/>
      <c r="R10" s="32"/>
    </row>
    <row r="11" spans="1:18">
      <c r="A11" s="32" t="s">
        <v>54</v>
      </c>
      <c r="B11" s="37">
        <f t="shared" si="0"/>
        <v>176.03180936209901</v>
      </c>
      <c r="C11" s="33"/>
      <c r="D11" s="37">
        <f>IF(ISERROR(TER_onderwijs_gas_kWh/1000),0,TER_onderwijs_gas_kWh/1000)*0.902</f>
        <v>936.86088396306252</v>
      </c>
      <c r="E11" s="33">
        <f>$C$31*'E Balans VL '!I11/100/3.6*1000000</f>
        <v>0.21847071624712516</v>
      </c>
      <c r="F11" s="33">
        <f>$C$31*('E Balans VL '!L11+'E Balans VL '!N11)/100/3.6*1000000</f>
        <v>207.46270376997279</v>
      </c>
      <c r="G11" s="34"/>
      <c r="H11" s="33"/>
      <c r="I11" s="33"/>
      <c r="J11" s="33">
        <f>$C$31*('E Balans VL '!D11+'E Balans VL '!E11)/100/3.6*1000000</f>
        <v>0</v>
      </c>
      <c r="K11" s="33"/>
      <c r="L11" s="33"/>
      <c r="M11" s="33"/>
      <c r="N11" s="33">
        <f>$C$31*'E Balans VL '!Y11/100/3.6*1000000</f>
        <v>0.84493624414042456</v>
      </c>
      <c r="O11" s="33"/>
      <c r="P11" s="33"/>
      <c r="R11" s="32"/>
    </row>
    <row r="12" spans="1:18">
      <c r="A12" s="32" t="s">
        <v>249</v>
      </c>
      <c r="B12" s="37">
        <f t="shared" si="0"/>
        <v>2700.9868512266903</v>
      </c>
      <c r="C12" s="33"/>
      <c r="D12" s="37">
        <f>IF(ISERROR(TER_rest_gas_kWh/1000),0,TER_rest_gas_kWh/1000)*0.902</f>
        <v>2589.5503787537418</v>
      </c>
      <c r="E12" s="33">
        <f>$C$32*'E Balans VL '!I8/100/3.6*1000000</f>
        <v>57.871016017657965</v>
      </c>
      <c r="F12" s="33">
        <f>$C$32*('E Balans VL '!L8+'E Balans VL '!N8)/100/3.6*1000000</f>
        <v>534.2150110102632</v>
      </c>
      <c r="G12" s="34"/>
      <c r="H12" s="33"/>
      <c r="I12" s="33"/>
      <c r="J12" s="33">
        <f>$C$32*('E Balans VL '!D8+'E Balans VL '!E8)/100/3.6*1000000</f>
        <v>0</v>
      </c>
      <c r="K12" s="33"/>
      <c r="L12" s="33"/>
      <c r="M12" s="33"/>
      <c r="N12" s="33">
        <f>$C$32*'E Balans VL '!Y8/100/3.6*1000000</f>
        <v>78.641091620476175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14517.553442562814</v>
      </c>
      <c r="C16" s="21">
        <f ca="1">C5+C13+C14</f>
        <v>0</v>
      </c>
      <c r="D16" s="21">
        <f t="shared" ref="D16:N16" ca="1" si="1">MAX((D5+D13+D14),0)</f>
        <v>14492.241477032419</v>
      </c>
      <c r="E16" s="21">
        <f t="shared" si="1"/>
        <v>281.12581057467298</v>
      </c>
      <c r="F16" s="21">
        <f t="shared" ca="1" si="1"/>
        <v>2791.2583854045115</v>
      </c>
      <c r="G16" s="21">
        <f t="shared" si="1"/>
        <v>0</v>
      </c>
      <c r="H16" s="21">
        <f t="shared" si="1"/>
        <v>0</v>
      </c>
      <c r="I16" s="21">
        <f t="shared" si="1"/>
        <v>0</v>
      </c>
      <c r="J16" s="21">
        <f t="shared" si="1"/>
        <v>0</v>
      </c>
      <c r="K16" s="21">
        <f t="shared" si="1"/>
        <v>0</v>
      </c>
      <c r="L16" s="21">
        <f t="shared" ca="1" si="1"/>
        <v>0</v>
      </c>
      <c r="M16" s="21">
        <f t="shared" si="1"/>
        <v>0</v>
      </c>
      <c r="N16" s="21">
        <f t="shared" ca="1" si="1"/>
        <v>573.4949799968249</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0.21280319670556547</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3089.3817809212537</v>
      </c>
      <c r="C20" s="23">
        <f t="shared" ref="C20:P20" ca="1" si="2">C16*C18</f>
        <v>0</v>
      </c>
      <c r="D20" s="23">
        <f t="shared" ca="1" si="2"/>
        <v>2927.432778360549</v>
      </c>
      <c r="E20" s="23">
        <f t="shared" si="2"/>
        <v>63.815559000450769</v>
      </c>
      <c r="F20" s="23">
        <f t="shared" ca="1" si="2"/>
        <v>745.26598890300465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2820.0623777566398</v>
      </c>
      <c r="C26" s="39">
        <f>IF(ISERROR(B26*3.6/1000000/'E Balans VL '!Z12*100),0,B26*3.6/1000000/'E Balans VL '!Z12*100)</f>
        <v>5.8645187210735542E-2</v>
      </c>
      <c r="D26" s="233" t="s">
        <v>676</v>
      </c>
      <c r="F26" s="6"/>
    </row>
    <row r="27" spans="1:18">
      <c r="A27" s="228" t="s">
        <v>52</v>
      </c>
      <c r="B27" s="33">
        <f>IF(ISERROR(TER_horeca_ele_kWh/1000),0,TER_horeca_ele_kWh/1000)</f>
        <v>1594.5432738929101</v>
      </c>
      <c r="C27" s="39">
        <f>IF(ISERROR(B27*3.6/1000000/'E Balans VL '!Z9*100),0,B27*3.6/1000000/'E Balans VL '!Z9*100)</f>
        <v>0.13115231584516349</v>
      </c>
      <c r="D27" s="233" t="s">
        <v>676</v>
      </c>
      <c r="F27" s="6"/>
    </row>
    <row r="28" spans="1:18">
      <c r="A28" s="168" t="s">
        <v>51</v>
      </c>
      <c r="B28" s="33">
        <f>IF(ISERROR(TER_handel_ele_kWh/1000),0,TER_handel_ele_kWh/1000)</f>
        <v>4937.0213987911402</v>
      </c>
      <c r="C28" s="39">
        <f>IF(ISERROR(B28*3.6/1000000/'E Balans VL '!Z13*100),0,B28*3.6/1000000/'E Balans VL '!Z13*100)</f>
        <v>0.13665578715673449</v>
      </c>
      <c r="D28" s="233" t="s">
        <v>676</v>
      </c>
      <c r="F28" s="6"/>
    </row>
    <row r="29" spans="1:18">
      <c r="A29" s="228" t="s">
        <v>50</v>
      </c>
      <c r="B29" s="33">
        <f>IF(ISERROR(TER_gezond_ele_kWh/1000),0,TER_gezond_ele_kWh/1000)</f>
        <v>141.971196584674</v>
      </c>
      <c r="C29" s="39">
        <f>IF(ISERROR(B29*3.6/1000000/'E Balans VL '!Z10*100),0,B29*3.6/1000000/'E Balans VL '!Z10*100)</f>
        <v>1.6190784490466237E-2</v>
      </c>
      <c r="D29" s="233" t="s">
        <v>676</v>
      </c>
      <c r="F29" s="6"/>
    </row>
    <row r="30" spans="1:18">
      <c r="A30" s="228" t="s">
        <v>49</v>
      </c>
      <c r="B30" s="33">
        <f>IF(ISERROR(TER_ander_ele_kWh/1000),0,TER_ander_ele_kWh/1000)</f>
        <v>2146.9365349486602</v>
      </c>
      <c r="C30" s="39">
        <f>IF(ISERROR(B30*3.6/1000000/'E Balans VL '!Z14*100),0,B30*3.6/1000000/'E Balans VL '!Z14*100)</f>
        <v>0.16617871142538684</v>
      </c>
      <c r="D30" s="233" t="s">
        <v>676</v>
      </c>
      <c r="F30" s="6"/>
    </row>
    <row r="31" spans="1:18">
      <c r="A31" s="228" t="s">
        <v>54</v>
      </c>
      <c r="B31" s="33">
        <f>IF(ISERROR(TER_onderwijs_ele_kWh/1000),0,TER_onderwijs_ele_kWh/1000)</f>
        <v>176.03180936209901</v>
      </c>
      <c r="C31" s="39">
        <f>IF(ISERROR(B31*3.6/1000000/'E Balans VL '!Z11*100),0,B31*3.6/1000000/'E Balans VL '!Z11*100)</f>
        <v>5.4848182027940576E-2</v>
      </c>
      <c r="D31" s="233" t="s">
        <v>676</v>
      </c>
    </row>
    <row r="32" spans="1:18">
      <c r="A32" s="228" t="s">
        <v>249</v>
      </c>
      <c r="B32" s="33">
        <f>IF(ISERROR(TER_rest_ele_kWh/1000),0,TER_rest_ele_kWh/1000)</f>
        <v>2700.9868512266903</v>
      </c>
      <c r="C32" s="39">
        <f>IF(ISERROR(B32*3.6/1000000/'E Balans VL '!Z8*100),0,B32*3.6/1000000/'E Balans VL '!Z8*100)</f>
        <v>2.2272552844779161E-2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3146.1220818158017</v>
      </c>
      <c r="C5" s="17">
        <f>IF(ISERROR('Eigen informatie GS &amp; warmtenet'!B59),0,'Eigen informatie GS &amp; warmtenet'!B59)</f>
        <v>0</v>
      </c>
      <c r="D5" s="30">
        <f>SUM(D6:D15)</f>
        <v>2607.5042837745054</v>
      </c>
      <c r="E5" s="17">
        <f>SUM(E6:E15)</f>
        <v>39.644336967554281</v>
      </c>
      <c r="F5" s="17">
        <f>SUM(F6:F15)</f>
        <v>1327.8656518750565</v>
      </c>
      <c r="G5" s="18"/>
      <c r="H5" s="17"/>
      <c r="I5" s="17"/>
      <c r="J5" s="17">
        <f>SUM(J6:J15)</f>
        <v>11.20589966819341</v>
      </c>
      <c r="K5" s="17"/>
      <c r="L5" s="17"/>
      <c r="M5" s="17"/>
      <c r="N5" s="17">
        <f>SUM(N6:N15)</f>
        <v>123.22070782619797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1248.01601626208</v>
      </c>
      <c r="C9" s="33"/>
      <c r="D9" s="37">
        <f>IF( ISERROR(IND_andere_gas_kWh/1000),0,IND_andere_gas_kWh/1000)*0.902</f>
        <v>1003.7191762420623</v>
      </c>
      <c r="E9" s="33">
        <f>C31*'E Balans VL '!I19/100/3.6*1000000</f>
        <v>20.961957861555607</v>
      </c>
      <c r="F9" s="33">
        <f>C31*'E Balans VL '!L19/100/3.6*1000000+C31*'E Balans VL '!N19/100/3.6*1000000</f>
        <v>975.62783982890517</v>
      </c>
      <c r="G9" s="34"/>
      <c r="H9" s="33"/>
      <c r="I9" s="33"/>
      <c r="J9" s="40">
        <f>C31*'E Balans VL '!D19/100/3.6*1000000+C31*'E Balans VL '!E19/100/3.6*1000000</f>
        <v>0.11256002794908561</v>
      </c>
      <c r="K9" s="33"/>
      <c r="L9" s="33"/>
      <c r="M9" s="33"/>
      <c r="N9" s="33">
        <f>C31*'E Balans VL '!Y19/100/3.6*1000000</f>
        <v>92.498009459261297</v>
      </c>
      <c r="O9" s="33"/>
      <c r="P9" s="33"/>
      <c r="R9" s="32"/>
    </row>
    <row r="10" spans="1:18">
      <c r="A10" s="6" t="s">
        <v>40</v>
      </c>
      <c r="B10" s="37">
        <f t="shared" si="0"/>
        <v>560.1732923847469</v>
      </c>
      <c r="C10" s="33"/>
      <c r="D10" s="37">
        <f>IF( ISERROR(IND_voed_gas_kWh/1000),0,IND_voed_gas_kWh/1000)*0.902</f>
        <v>652.24494830798642</v>
      </c>
      <c r="E10" s="33">
        <f>C32*'E Balans VL '!I20/100/3.6*1000000</f>
        <v>5.1107883397179723</v>
      </c>
      <c r="F10" s="33">
        <f>C32*'E Balans VL '!L20/100/3.6*1000000+C32*'E Balans VL '!N20/100/3.6*1000000</f>
        <v>90.37347325686946</v>
      </c>
      <c r="G10" s="34"/>
      <c r="H10" s="33"/>
      <c r="I10" s="33"/>
      <c r="J10" s="40">
        <f>C32*'E Balans VL '!D20/100/3.6*1000000+C32*'E Balans VL '!E20/100/3.6*1000000</f>
        <v>2.3071608854284826</v>
      </c>
      <c r="K10" s="33"/>
      <c r="L10" s="33"/>
      <c r="M10" s="33"/>
      <c r="N10" s="33">
        <f>C32*'E Balans VL '!Y20/100/3.6*1000000</f>
        <v>8.194893558550767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62.871546081792403</v>
      </c>
      <c r="C12" s="33"/>
      <c r="D12" s="37">
        <f>IF( ISERROR(IND_min_gas_kWh/1000),0,IND_min_gas_kWh/1000)*0.902</f>
        <v>0</v>
      </c>
      <c r="E12" s="33">
        <f>C34*'E Balans VL '!I22/100/3.6*1000000</f>
        <v>1.5594187412624636</v>
      </c>
      <c r="F12" s="33">
        <f>C34*'E Balans VL '!L22/100/3.6*1000000+C34*'E Balans VL '!N22/100/3.6*1000000</f>
        <v>6.6807037660090574</v>
      </c>
      <c r="G12" s="34"/>
      <c r="H12" s="33"/>
      <c r="I12" s="33"/>
      <c r="J12" s="40">
        <f>C34*'E Balans VL '!D22/100/3.6*1000000+C34*'E Balans VL '!E22/100/3.6*1000000</f>
        <v>0.35714727239141225</v>
      </c>
      <c r="K12" s="33"/>
      <c r="L12" s="33"/>
      <c r="M12" s="33"/>
      <c r="N12" s="33">
        <f>C34*'E Balans VL '!Y22/100/3.6*1000000</f>
        <v>0</v>
      </c>
      <c r="O12" s="33"/>
      <c r="P12" s="33"/>
      <c r="R12" s="32"/>
    </row>
    <row r="13" spans="1:18">
      <c r="A13" s="6" t="s">
        <v>38</v>
      </c>
      <c r="B13" s="37">
        <f t="shared" si="0"/>
        <v>23.228380178892799</v>
      </c>
      <c r="C13" s="33"/>
      <c r="D13" s="37">
        <f>IF( ISERROR(IND_papier_gas_kWh/1000),0,IND_papier_gas_kWh/1000)*0.902</f>
        <v>0</v>
      </c>
      <c r="E13" s="33">
        <f>C35*'E Balans VL '!I23/100/3.6*1000000</f>
        <v>0.7146766374312935</v>
      </c>
      <c r="F13" s="33">
        <f>C35*'E Balans VL '!L23/100/3.6*1000000+C35*'E Balans VL '!N23/100/3.6*1000000</f>
        <v>4.9321968959040605</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1251.8328469082899</v>
      </c>
      <c r="C15" s="33"/>
      <c r="D15" s="37">
        <f>IF( ISERROR(IND_rest_gas_kWh/1000),0,IND_rest_gas_kWh/1000)*0.902</f>
        <v>951.54015922445672</v>
      </c>
      <c r="E15" s="33">
        <f>C37*'E Balans VL '!I15/100/3.6*1000000</f>
        <v>11.297495387586943</v>
      </c>
      <c r="F15" s="33">
        <f>C37*'E Balans VL '!L15/100/3.6*1000000+C37*'E Balans VL '!N15/100/3.6*1000000</f>
        <v>250.25143812736874</v>
      </c>
      <c r="G15" s="34"/>
      <c r="H15" s="33"/>
      <c r="I15" s="33"/>
      <c r="J15" s="40">
        <f>C37*'E Balans VL '!D15/100/3.6*1000000+C37*'E Balans VL '!E15/100/3.6*1000000</f>
        <v>8.4290314824244295</v>
      </c>
      <c r="K15" s="33"/>
      <c r="L15" s="33"/>
      <c r="M15" s="33"/>
      <c r="N15" s="33">
        <f>C37*'E Balans VL '!Y15/100/3.6*1000000</f>
        <v>22.527804808385909</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3146.1220818158017</v>
      </c>
      <c r="C18" s="21">
        <f>C5+C16</f>
        <v>0</v>
      </c>
      <c r="D18" s="21">
        <f>MAX((D5+D16),0)</f>
        <v>2607.5042837745054</v>
      </c>
      <c r="E18" s="21">
        <f>MAX((E5+E16),0)</f>
        <v>39.644336967554281</v>
      </c>
      <c r="F18" s="21">
        <f>MAX((F5+F16),0)</f>
        <v>1327.8656518750565</v>
      </c>
      <c r="G18" s="21"/>
      <c r="H18" s="21"/>
      <c r="I18" s="21"/>
      <c r="J18" s="21">
        <f>MAX((J5+J16),0)</f>
        <v>11.20589966819341</v>
      </c>
      <c r="K18" s="21"/>
      <c r="L18" s="21">
        <f>MAX((L5+L16),0)</f>
        <v>0</v>
      </c>
      <c r="M18" s="21"/>
      <c r="N18" s="21">
        <f>MAX((N5+N16),0)</f>
        <v>123.22070782619797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0.21280319670556547</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669.50483623637115</v>
      </c>
      <c r="C22" s="23">
        <f ca="1">C18*C20</f>
        <v>0</v>
      </c>
      <c r="D22" s="23">
        <f>D18*D20</f>
        <v>526.7158653224501</v>
      </c>
      <c r="E22" s="23">
        <f>E18*E20</f>
        <v>8.9992644916348219</v>
      </c>
      <c r="F22" s="23">
        <f>F18*F20</f>
        <v>354.54012905064013</v>
      </c>
      <c r="G22" s="23"/>
      <c r="H22" s="23"/>
      <c r="I22" s="23"/>
      <c r="J22" s="23">
        <f>J18*J20</f>
        <v>3.9668884825404671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1248.01601626208</v>
      </c>
      <c r="C31" s="39">
        <f>IF(ISERROR(B31*3.6/1000000/'E Balans VL '!Z19*100),0,B31*3.6/1000000/'E Balans VL '!Z19*100)</f>
        <v>5.5319604179755386E-2</v>
      </c>
      <c r="D31" s="233" t="s">
        <v>676</v>
      </c>
    </row>
    <row r="32" spans="1:18">
      <c r="A32" s="168" t="s">
        <v>40</v>
      </c>
      <c r="B32" s="37">
        <f>IF( ISERROR(IND_voed_ele_kWh/1000),0,IND_voed_ele_kWh/1000)</f>
        <v>560.1732923847469</v>
      </c>
      <c r="C32" s="39">
        <f>IF(ISERROR(B32*3.6/1000000/'E Balans VL '!Z20*100),0,B32*3.6/1000000/'E Balans VL '!Z20*100)</f>
        <v>1.8711394894849118E-2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62.871546081792403</v>
      </c>
      <c r="C34" s="39">
        <f>IF(ISERROR(B34*3.6/1000000/'E Balans VL '!Z22*100),0,B34*3.6/1000000/'E Balans VL '!Z22*100)</f>
        <v>1.222782510823126E-2</v>
      </c>
      <c r="D34" s="233" t="s">
        <v>676</v>
      </c>
    </row>
    <row r="35" spans="1:5">
      <c r="A35" s="168" t="s">
        <v>38</v>
      </c>
      <c r="B35" s="37">
        <f>IF( ISERROR(IND_papier_ele_kWh/1000),0,IND_papier_ele_kWh/1000)</f>
        <v>23.228380178892799</v>
      </c>
      <c r="C35" s="39">
        <f>IF(ISERROR(B35*3.6/1000000/'E Balans VL '!Z22*100),0,B35*3.6/1000000/'E Balans VL '!Z22*100)</f>
        <v>4.517664795541945E-3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1251.8328469082899</v>
      </c>
      <c r="C37" s="39">
        <f>IF(ISERROR(B37*3.6/1000000/'E Balans VL '!Z15*100),0,B37*3.6/1000000/'E Balans VL '!Z15*100)</f>
        <v>9.3115969708404585E-3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1383.8992178571023</v>
      </c>
      <c r="C5" s="17">
        <f>'Eigen informatie GS &amp; warmtenet'!B60</f>
        <v>0</v>
      </c>
      <c r="D5" s="30">
        <f>IF(ISERROR(SUM(LB_lb_gas_kWh,LB_rest_gas_kWh)/1000),0,SUM(LB_lb_gas_kWh,LB_rest_gas_kWh)/1000)*0.902</f>
        <v>24168.05492275683</v>
      </c>
      <c r="E5" s="17">
        <f>B17*'E Balans VL '!I25/3.6*1000000/100</f>
        <v>12.470687966228478</v>
      </c>
      <c r="F5" s="17">
        <f>B17*('E Balans VL '!L25/3.6*1000000+'E Balans VL '!N25/3.6*1000000)/100</f>
        <v>5185.5125768390581</v>
      </c>
      <c r="G5" s="18"/>
      <c r="H5" s="17"/>
      <c r="I5" s="17"/>
      <c r="J5" s="17">
        <f>('E Balans VL '!D25+'E Balans VL '!E25)/3.6*1000000*landbouw!B17/100</f>
        <v>140.04487719979667</v>
      </c>
      <c r="K5" s="17"/>
      <c r="L5" s="17">
        <f>L6*(-1)</f>
        <v>0</v>
      </c>
      <c r="M5" s="17"/>
      <c r="N5" s="17">
        <f>N6*(-1)</f>
        <v>0</v>
      </c>
      <c r="O5" s="17"/>
      <c r="P5" s="17"/>
      <c r="R5" s="32"/>
    </row>
    <row r="6" spans="1:18">
      <c r="A6" s="16" t="s">
        <v>483</v>
      </c>
      <c r="B6" s="17" t="s">
        <v>204</v>
      </c>
      <c r="C6" s="17">
        <f>'lokale energieproductie'!O39+'lokale energieproductie'!O32</f>
        <v>10041.428571428572</v>
      </c>
      <c r="D6" s="302">
        <f>('lokale energieproductie'!P32+'lokale energieproductie'!P39)*(-1)</f>
        <v>-20082.857142857145</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1383.8992178571023</v>
      </c>
      <c r="C8" s="21">
        <f>C5+C6</f>
        <v>10041.428571428572</v>
      </c>
      <c r="D8" s="21">
        <f>MAX((D5+D6),0)</f>
        <v>4085.197779899685</v>
      </c>
      <c r="E8" s="21">
        <f>MAX((E5+E6),0)</f>
        <v>12.470687966228478</v>
      </c>
      <c r="F8" s="21">
        <f>MAX((F5+F6),0)</f>
        <v>5185.5125768390581</v>
      </c>
      <c r="G8" s="21"/>
      <c r="H8" s="21"/>
      <c r="I8" s="21"/>
      <c r="J8" s="21">
        <f>MAX((J5+J6),0)</f>
        <v>140.04487719979667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0.21280319670556547</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294.49817747832316</v>
      </c>
      <c r="C12" s="23">
        <f ca="1">C8*C10</f>
        <v>2386.3159663865549</v>
      </c>
      <c r="D12" s="23">
        <f>D8*D10</f>
        <v>825.20995153973638</v>
      </c>
      <c r="E12" s="23">
        <f>E8*E10</f>
        <v>2.8308461683338648</v>
      </c>
      <c r="F12" s="23">
        <f>F8*F10</f>
        <v>1384.5318580160285</v>
      </c>
      <c r="G12" s="23"/>
      <c r="H12" s="23"/>
      <c r="I12" s="23"/>
      <c r="J12" s="23">
        <f>J8*J10</f>
        <v>49.57588652872802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0.2130088038198536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264.80439664047839</v>
      </c>
      <c r="C26" s="243">
        <f>B26*'GWP N2O_CH4'!B5</f>
        <v>5560.8923294500464</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140.19704035994383</v>
      </c>
      <c r="C27" s="243">
        <f>B27*'GWP N2O_CH4'!B5</f>
        <v>2944.1378475588203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4.5966484583582865</v>
      </c>
      <c r="C28" s="243">
        <f>B28*'GWP N2O_CH4'!B4</f>
        <v>1424.9610220910688</v>
      </c>
      <c r="D28" s="50"/>
    </row>
    <row r="29" spans="1:4">
      <c r="A29" s="41" t="s">
        <v>266</v>
      </c>
      <c r="B29" s="243">
        <f>B34*'ha_N2O bodem landbouw'!B4</f>
        <v>11.831790255092573</v>
      </c>
      <c r="C29" s="243">
        <f>B29*'GWP N2O_CH4'!B4</f>
        <v>3667.8549790786974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3.0718997008391965E-3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5.2129240601191192E-6</v>
      </c>
      <c r="C5" s="431" t="s">
        <v>204</v>
      </c>
      <c r="D5" s="416">
        <f>SUM(D6:D11)</f>
        <v>1.7799338779706155E-5</v>
      </c>
      <c r="E5" s="416">
        <f>SUM(E6:E11)</f>
        <v>1.9884558535050848E-3</v>
      </c>
      <c r="F5" s="429" t="s">
        <v>204</v>
      </c>
      <c r="G5" s="416">
        <f>SUM(G6:G11)</f>
        <v>0.47527324685616201</v>
      </c>
      <c r="H5" s="416">
        <f>SUM(H6:H11)</f>
        <v>6.2317240312322282E-2</v>
      </c>
      <c r="I5" s="431" t="s">
        <v>204</v>
      </c>
      <c r="J5" s="431" t="s">
        <v>204</v>
      </c>
      <c r="K5" s="431" t="s">
        <v>204</v>
      </c>
      <c r="L5" s="431" t="s">
        <v>204</v>
      </c>
      <c r="M5" s="416">
        <f>SUM(M6:M11)</f>
        <v>2.3342534363369395E-2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1.0108974554265263E-6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3.1908744309973601E-6</v>
      </c>
      <c r="E6" s="419">
        <f>vkm_GW_PW*SUMIFS(TableVerdeelsleutelVkm[LPG],TableVerdeelsleutelVkm[Voertuigtype],"Lichte voertuigen")*SUMIFS(TableECFTransport[EnergieConsumptieFactor (PJ per km)],TableECFTransport[Index],CONCATENATE($A6,"_LPG_LPG"))</f>
        <v>3.3139931235681816E-4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4.423600627172853E-2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1.111017849459449E-2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2.416997548793611E-3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9.5628950176835789E-8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4.3107190511682492E-2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1.2684012116382521E-6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1.8570803540285856E-3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1.3459250200940014E-6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7.2056057651864097E-6</v>
      </c>
      <c r="E8" s="419">
        <f>vkm_NGW_PW*SUMIFS(TableVerdeelsleutelVkm[LPG],TableVerdeelsleutelVkm[Voertuigtype],"Lichte voertuigen")*SUMIFS(TableECFTransport[EnergieConsumptieFactor (PJ per km)],TableECFTransport[Index],CONCATENATE($A8,"_LPG_LPG"))</f>
        <v>7.0434898378762985E-4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8.943813409316452E-2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2.3695438756832075E-2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4.9435056044396034E-3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6.4509327839489914E-8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4.0279295298890343E-2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1.0327762045771199E-6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1.7352461315719009E-3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2.3738856807571801E-6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7.4028585835223831E-6</v>
      </c>
      <c r="E10" s="419">
        <f>vkm_SW_PW*SUMIFS(TableVerdeelsleutelVkm[LPG],TableVerdeelsleutelVkm[Voertuigtype],"Lichte voertuigen")*SUMIFS(TableECFTransport[EnergieConsumptieFactor (PJ per km)],TableECFTransport[Index],CONCATENATE($A10,"_LPG_LPG"))</f>
        <v>9.5270755736063704E-4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0.11812147781886265</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2.7504924865356134E-2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6.3544922332466154E-3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3.2207762582508616E-7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0.14009114286183347</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4.3970181233704873E-6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6.0352124912890813E-3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1.4480344611442</v>
      </c>
      <c r="C14" s="21"/>
      <c r="D14" s="21">
        <f t="shared" ref="D14:M14" si="0">((D5)*10^9/3600)+D12</f>
        <v>4.9442607721405984</v>
      </c>
      <c r="E14" s="21">
        <f t="shared" si="0"/>
        <v>552.34884819585693</v>
      </c>
      <c r="F14" s="21"/>
      <c r="G14" s="21">
        <f t="shared" si="0"/>
        <v>132020.3463489339</v>
      </c>
      <c r="H14" s="21">
        <f t="shared" si="0"/>
        <v>17310.344531200633</v>
      </c>
      <c r="I14" s="21"/>
      <c r="J14" s="21"/>
      <c r="K14" s="21"/>
      <c r="L14" s="21"/>
      <c r="M14" s="21">
        <f t="shared" si="0"/>
        <v>6484.0373231581652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0.21280319670556547</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0.30814636227130671</v>
      </c>
      <c r="C18" s="23"/>
      <c r="D18" s="23">
        <f t="shared" ref="D18:M18" si="1">D14*D16</f>
        <v>0.9987406759724009</v>
      </c>
      <c r="E18" s="23">
        <f t="shared" si="1"/>
        <v>125.38318854045953</v>
      </c>
      <c r="F18" s="23"/>
      <c r="G18" s="23">
        <f t="shared" si="1"/>
        <v>35249.432475165355</v>
      </c>
      <c r="H18" s="23">
        <f t="shared" si="1"/>
        <v>4310.2757882689575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2.6037798443512836E-5</v>
      </c>
      <c r="C50" s="313">
        <f t="shared" ref="C50:P50" si="2">SUM(C51:C52)</f>
        <v>0</v>
      </c>
      <c r="D50" s="313">
        <f t="shared" si="2"/>
        <v>0</v>
      </c>
      <c r="E50" s="313">
        <f t="shared" si="2"/>
        <v>0</v>
      </c>
      <c r="F50" s="313">
        <f t="shared" si="2"/>
        <v>0</v>
      </c>
      <c r="G50" s="313">
        <f t="shared" si="2"/>
        <v>5.6486389565118793E-3</v>
      </c>
      <c r="H50" s="313">
        <f t="shared" si="2"/>
        <v>0</v>
      </c>
      <c r="I50" s="313">
        <f t="shared" si="2"/>
        <v>0</v>
      </c>
      <c r="J50" s="313">
        <f t="shared" si="2"/>
        <v>0</v>
      </c>
      <c r="K50" s="313">
        <f t="shared" si="2"/>
        <v>0</v>
      </c>
      <c r="L50" s="313">
        <f t="shared" si="2"/>
        <v>0</v>
      </c>
      <c r="M50" s="313">
        <f t="shared" si="2"/>
        <v>2.4185302228893897E-4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2.6037798443512836E-5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5.6486389565118793E-3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2.4185302228893897E-4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7.2327217898646765</v>
      </c>
      <c r="C54" s="21">
        <f t="shared" ref="C54:P54" si="3">(C50)*10^9/3600</f>
        <v>0</v>
      </c>
      <c r="D54" s="21">
        <f t="shared" si="3"/>
        <v>0</v>
      </c>
      <c r="E54" s="21">
        <f t="shared" si="3"/>
        <v>0</v>
      </c>
      <c r="F54" s="21">
        <f t="shared" si="3"/>
        <v>0</v>
      </c>
      <c r="G54" s="21">
        <f t="shared" si="3"/>
        <v>1569.0663768088555</v>
      </c>
      <c r="H54" s="21">
        <f t="shared" si="3"/>
        <v>0</v>
      </c>
      <c r="I54" s="21">
        <f t="shared" si="3"/>
        <v>0</v>
      </c>
      <c r="J54" s="21">
        <f t="shared" si="3"/>
        <v>0</v>
      </c>
      <c r="K54" s="21">
        <f t="shared" si="3"/>
        <v>0</v>
      </c>
      <c r="L54" s="21">
        <f t="shared" si="3"/>
        <v>0</v>
      </c>
      <c r="M54" s="21">
        <f t="shared" si="3"/>
        <v>67.181395080260828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0.21280319670556547</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1.5391463177652023</v>
      </c>
      <c r="C58" s="23">
        <f t="shared" ref="C58:P58" ca="1" si="4">C54*C56</f>
        <v>0</v>
      </c>
      <c r="D58" s="23">
        <f t="shared" si="4"/>
        <v>0</v>
      </c>
      <c r="E58" s="23">
        <f t="shared" si="4"/>
        <v>0</v>
      </c>
      <c r="F58" s="23">
        <f t="shared" si="4"/>
        <v>0</v>
      </c>
      <c r="G58" s="23">
        <f t="shared" si="4"/>
        <v>418.94072260796446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2606.7747678874166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7029</v>
      </c>
      <c r="C8" s="542">
        <f>B48</f>
        <v>8269.4117647058829</v>
      </c>
      <c r="D8" s="920"/>
      <c r="E8" s="920">
        <f>E48</f>
        <v>0</v>
      </c>
      <c r="F8" s="921"/>
      <c r="G8" s="543"/>
      <c r="H8" s="920">
        <f>I48</f>
        <v>0</v>
      </c>
      <c r="I8" s="920">
        <f>G48+F48</f>
        <v>0</v>
      </c>
      <c r="J8" s="920">
        <f>H48+D48+C48</f>
        <v>0</v>
      </c>
      <c r="K8" s="920"/>
      <c r="L8" s="920"/>
      <c r="M8" s="920"/>
      <c r="N8" s="544"/>
      <c r="O8" s="545">
        <f>C8*$C$12+D8*$D$12+E8*$E$12+F8*$F$12+G8*$G$12+H8*$H$12+I8*$I$12+J8*$J$12</f>
        <v>1670.4211764705885</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9635.7747678874166</v>
      </c>
      <c r="C10" s="554">
        <f t="shared" ref="C10:L10" si="0">SUM(C8:C9)</f>
        <v>8269.4117647058829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1670.4211764705885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10041.428571428572</v>
      </c>
      <c r="C17" s="566">
        <f>B49</f>
        <v>11813.445378151262</v>
      </c>
      <c r="D17" s="567"/>
      <c r="E17" s="567">
        <f>E49</f>
        <v>0</v>
      </c>
      <c r="F17" s="568"/>
      <c r="G17" s="569"/>
      <c r="H17" s="566">
        <f>I49</f>
        <v>0</v>
      </c>
      <c r="I17" s="567">
        <f>G49+F49</f>
        <v>0</v>
      </c>
      <c r="J17" s="567">
        <f>H49+D49+C49</f>
        <v>0</v>
      </c>
      <c r="K17" s="567"/>
      <c r="L17" s="567"/>
      <c r="M17" s="567"/>
      <c r="N17" s="916"/>
      <c r="O17" s="570">
        <f>C17*$C$22+E17*$E$22+H17*$H$22+I17*$I$22+J17*$J$22+D17*$D$22+F17*$F$22+G17*$G$22+K17*$K$22+L17*$L$22</f>
        <v>2386.3159663865549</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10041.428571428572</v>
      </c>
      <c r="C20" s="553">
        <f>SUM(C17:C19)</f>
        <v>11813.445378151262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2386.3159663865549</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46024</v>
      </c>
      <c r="C28" s="736">
        <v>9190</v>
      </c>
      <c r="D28" s="626"/>
      <c r="E28" s="625"/>
      <c r="F28" s="625"/>
      <c r="G28" s="625" t="s">
        <v>962</v>
      </c>
      <c r="H28" s="625" t="s">
        <v>963</v>
      </c>
      <c r="I28" s="625"/>
      <c r="J28" s="735"/>
      <c r="K28" s="735"/>
      <c r="L28" s="625" t="s">
        <v>964</v>
      </c>
      <c r="M28" s="625">
        <v>1562</v>
      </c>
      <c r="N28" s="625">
        <v>7029</v>
      </c>
      <c r="O28" s="625">
        <v>10041.428571428572</v>
      </c>
      <c r="P28" s="625">
        <v>20082.857142857145</v>
      </c>
      <c r="Q28" s="625">
        <v>0</v>
      </c>
      <c r="R28" s="625">
        <v>0</v>
      </c>
      <c r="S28" s="625">
        <v>0</v>
      </c>
      <c r="T28" s="625">
        <v>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1562</v>
      </c>
      <c r="N29" s="583">
        <f>SUM(N28:N28)</f>
        <v>7029</v>
      </c>
      <c r="O29" s="583">
        <f>SUM(O28:O28)</f>
        <v>10041.428571428572</v>
      </c>
      <c r="P29" s="583">
        <f>SUM(P28:P28)</f>
        <v>20082.857142857145</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1562</v>
      </c>
      <c r="N32" s="588">
        <f>SUMIF($AA$28:$AA$28,"landbouw",N28:N28)</f>
        <v>7029</v>
      </c>
      <c r="O32" s="588">
        <f>SUMIF($AA$28:$AA$28,"landbouw",O28:O28)</f>
        <v>10041.428571428572</v>
      </c>
      <c r="P32" s="588">
        <f>SUMIF($AA$28:$AA$28,"landbouw",P28:P28)</f>
        <v>20082.857142857145</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8269.4117647058829</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11813.445378151262</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15653.007442562814</v>
      </c>
      <c r="D10" s="635">
        <f ca="1">tertiair!C16</f>
        <v>0</v>
      </c>
      <c r="E10" s="635">
        <f ca="1">tertiair!D16</f>
        <v>14492.241477032419</v>
      </c>
      <c r="F10" s="635">
        <f>tertiair!E16</f>
        <v>281.12581057467298</v>
      </c>
      <c r="G10" s="635">
        <f ca="1">tertiair!F16</f>
        <v>2791.2583854045115</v>
      </c>
      <c r="H10" s="635">
        <f>tertiair!G16</f>
        <v>0</v>
      </c>
      <c r="I10" s="635">
        <f>tertiair!H16</f>
        <v>0</v>
      </c>
      <c r="J10" s="635">
        <f>tertiair!I16</f>
        <v>0</v>
      </c>
      <c r="K10" s="635">
        <f>tertiair!J16</f>
        <v>0</v>
      </c>
      <c r="L10" s="635">
        <f>tertiair!K16</f>
        <v>0</v>
      </c>
      <c r="M10" s="635">
        <f ca="1">tertiair!L16</f>
        <v>0</v>
      </c>
      <c r="N10" s="635">
        <f>tertiair!M16</f>
        <v>0</v>
      </c>
      <c r="O10" s="635">
        <f ca="1">tertiair!N16</f>
        <v>573.4949799968249</v>
      </c>
      <c r="P10" s="635">
        <f>tertiair!O16</f>
        <v>3.1266666666666669</v>
      </c>
      <c r="Q10" s="636">
        <f>tertiair!P16</f>
        <v>0</v>
      </c>
      <c r="R10" s="638">
        <f ca="1">SUM(C10:Q10)</f>
        <v>33794.254762237906</v>
      </c>
      <c r="S10" s="67"/>
    </row>
    <row r="11" spans="1:19" s="441" customFormat="1">
      <c r="A11" s="749" t="s">
        <v>214</v>
      </c>
      <c r="B11" s="754"/>
      <c r="C11" s="635">
        <f>huishoudens!B8</f>
        <v>33782.104515687446</v>
      </c>
      <c r="D11" s="635">
        <f>huishoudens!C8</f>
        <v>0</v>
      </c>
      <c r="E11" s="635">
        <f>huishoudens!D8</f>
        <v>72171.61080820112</v>
      </c>
      <c r="F11" s="635">
        <f>huishoudens!E8</f>
        <v>1238.9030059701777</v>
      </c>
      <c r="G11" s="635">
        <f>huishoudens!F8</f>
        <v>42289.205367208786</v>
      </c>
      <c r="H11" s="635">
        <f>huishoudens!G8</f>
        <v>0</v>
      </c>
      <c r="I11" s="635">
        <f>huishoudens!H8</f>
        <v>0</v>
      </c>
      <c r="J11" s="635">
        <f>huishoudens!I8</f>
        <v>0</v>
      </c>
      <c r="K11" s="635">
        <f>huishoudens!J8</f>
        <v>952.24568958919576</v>
      </c>
      <c r="L11" s="635">
        <f>huishoudens!K8</f>
        <v>0</v>
      </c>
      <c r="M11" s="635">
        <f>huishoudens!L8</f>
        <v>0</v>
      </c>
      <c r="N11" s="635">
        <f>huishoudens!M8</f>
        <v>0</v>
      </c>
      <c r="O11" s="635">
        <f>huishoudens!N8</f>
        <v>8460.9811674596749</v>
      </c>
      <c r="P11" s="635">
        <f>huishoudens!O8</f>
        <v>78.166666666666671</v>
      </c>
      <c r="Q11" s="636">
        <f>huishoudens!P8</f>
        <v>190.66666666666669</v>
      </c>
      <c r="R11" s="638">
        <f>SUM(C11:Q11)</f>
        <v>159163.88388744975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3146.1220818158017</v>
      </c>
      <c r="D13" s="635">
        <f>industrie!C18</f>
        <v>0</v>
      </c>
      <c r="E13" s="635">
        <f>industrie!D18</f>
        <v>2607.5042837745054</v>
      </c>
      <c r="F13" s="635">
        <f>industrie!E18</f>
        <v>39.644336967554281</v>
      </c>
      <c r="G13" s="635">
        <f>industrie!F18</f>
        <v>1327.8656518750565</v>
      </c>
      <c r="H13" s="635">
        <f>industrie!G18</f>
        <v>0</v>
      </c>
      <c r="I13" s="635">
        <f>industrie!H18</f>
        <v>0</v>
      </c>
      <c r="J13" s="635">
        <f>industrie!I18</f>
        <v>0</v>
      </c>
      <c r="K13" s="635">
        <f>industrie!J18</f>
        <v>11.20589966819341</v>
      </c>
      <c r="L13" s="635">
        <f>industrie!K18</f>
        <v>0</v>
      </c>
      <c r="M13" s="635">
        <f>industrie!L18</f>
        <v>0</v>
      </c>
      <c r="N13" s="635">
        <f>industrie!M18</f>
        <v>0</v>
      </c>
      <c r="O13" s="635">
        <f>industrie!N18</f>
        <v>123.22070782619797</v>
      </c>
      <c r="P13" s="635">
        <f>industrie!O18</f>
        <v>0</v>
      </c>
      <c r="Q13" s="636">
        <f>industrie!P18</f>
        <v>0</v>
      </c>
      <c r="R13" s="638">
        <f>SUM(C13:Q13)</f>
        <v>7255.5629619273104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52581.234040066061</v>
      </c>
      <c r="D16" s="668">
        <f t="shared" ref="D16:R16" ca="1" si="0">SUM(D9:D15)</f>
        <v>0</v>
      </c>
      <c r="E16" s="668">
        <f t="shared" ca="1" si="0"/>
        <v>89271.356569008043</v>
      </c>
      <c r="F16" s="668">
        <f t="shared" si="0"/>
        <v>1559.6731535124047</v>
      </c>
      <c r="G16" s="668">
        <f t="shared" ca="1" si="0"/>
        <v>46408.329404488359</v>
      </c>
      <c r="H16" s="668">
        <f t="shared" si="0"/>
        <v>0</v>
      </c>
      <c r="I16" s="668">
        <f t="shared" si="0"/>
        <v>0</v>
      </c>
      <c r="J16" s="668">
        <f t="shared" si="0"/>
        <v>0</v>
      </c>
      <c r="K16" s="668">
        <f t="shared" si="0"/>
        <v>963.45158925738917</v>
      </c>
      <c r="L16" s="668">
        <f t="shared" si="0"/>
        <v>0</v>
      </c>
      <c r="M16" s="668">
        <f t="shared" ca="1" si="0"/>
        <v>0</v>
      </c>
      <c r="N16" s="668">
        <f t="shared" si="0"/>
        <v>0</v>
      </c>
      <c r="O16" s="668">
        <f t="shared" ca="1" si="0"/>
        <v>9157.6968552826984</v>
      </c>
      <c r="P16" s="668">
        <f t="shared" si="0"/>
        <v>81.293333333333337</v>
      </c>
      <c r="Q16" s="668">
        <f t="shared" si="0"/>
        <v>190.66666666666669</v>
      </c>
      <c r="R16" s="668">
        <f t="shared" ca="1" si="0"/>
        <v>200213.70161161496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7.2327217898646765</v>
      </c>
      <c r="D19" s="635">
        <f>transport!C54</f>
        <v>0</v>
      </c>
      <c r="E19" s="635">
        <f>transport!D54</f>
        <v>0</v>
      </c>
      <c r="F19" s="635">
        <f>transport!E54</f>
        <v>0</v>
      </c>
      <c r="G19" s="635">
        <f>transport!F54</f>
        <v>0</v>
      </c>
      <c r="H19" s="635">
        <f>transport!G54</f>
        <v>1569.0663768088555</v>
      </c>
      <c r="I19" s="635">
        <f>transport!H54</f>
        <v>0</v>
      </c>
      <c r="J19" s="635">
        <f>transport!I54</f>
        <v>0</v>
      </c>
      <c r="K19" s="635">
        <f>transport!J54</f>
        <v>0</v>
      </c>
      <c r="L19" s="635">
        <f>transport!K54</f>
        <v>0</v>
      </c>
      <c r="M19" s="635">
        <f>transport!L54</f>
        <v>0</v>
      </c>
      <c r="N19" s="635">
        <f>transport!M54</f>
        <v>67.181395080260828</v>
      </c>
      <c r="O19" s="635">
        <f>transport!N54</f>
        <v>0</v>
      </c>
      <c r="P19" s="635">
        <f>transport!O54</f>
        <v>0</v>
      </c>
      <c r="Q19" s="636">
        <f>transport!P54</f>
        <v>0</v>
      </c>
      <c r="R19" s="638">
        <f>SUM(C19:Q19)</f>
        <v>1643.480493678981</v>
      </c>
      <c r="S19" s="67"/>
    </row>
    <row r="20" spans="1:19" s="441" customFormat="1">
      <c r="A20" s="749" t="s">
        <v>296</v>
      </c>
      <c r="B20" s="754"/>
      <c r="C20" s="635">
        <f>transport!B14</f>
        <v>1.4480344611442</v>
      </c>
      <c r="D20" s="635">
        <f>transport!C14</f>
        <v>0</v>
      </c>
      <c r="E20" s="635">
        <f>transport!D14</f>
        <v>4.9442607721405984</v>
      </c>
      <c r="F20" s="635">
        <f>transport!E14</f>
        <v>552.34884819585693</v>
      </c>
      <c r="G20" s="635">
        <f>transport!F14</f>
        <v>0</v>
      </c>
      <c r="H20" s="635">
        <f>transport!G14</f>
        <v>132020.3463489339</v>
      </c>
      <c r="I20" s="635">
        <f>transport!H14</f>
        <v>17310.344531200633</v>
      </c>
      <c r="J20" s="635">
        <f>transport!I14</f>
        <v>0</v>
      </c>
      <c r="K20" s="635">
        <f>transport!J14</f>
        <v>0</v>
      </c>
      <c r="L20" s="635">
        <f>transport!K14</f>
        <v>0</v>
      </c>
      <c r="M20" s="635">
        <f>transport!L14</f>
        <v>0</v>
      </c>
      <c r="N20" s="635">
        <f>transport!M14</f>
        <v>6484.0373231581652</v>
      </c>
      <c r="O20" s="635">
        <f>transport!N14</f>
        <v>0</v>
      </c>
      <c r="P20" s="635">
        <f>transport!O14</f>
        <v>0</v>
      </c>
      <c r="Q20" s="636">
        <f>transport!P14</f>
        <v>0</v>
      </c>
      <c r="R20" s="638">
        <f>SUM(C20:Q20)</f>
        <v>156373.46934672183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8.6807562510088765</v>
      </c>
      <c r="D22" s="752">
        <f t="shared" ref="D22:R22" si="1">SUM(D18:D21)</f>
        <v>0</v>
      </c>
      <c r="E22" s="752">
        <f t="shared" si="1"/>
        <v>4.9442607721405984</v>
      </c>
      <c r="F22" s="752">
        <f t="shared" si="1"/>
        <v>552.34884819585693</v>
      </c>
      <c r="G22" s="752">
        <f t="shared" si="1"/>
        <v>0</v>
      </c>
      <c r="H22" s="752">
        <f t="shared" si="1"/>
        <v>133589.41272574276</v>
      </c>
      <c r="I22" s="752">
        <f t="shared" si="1"/>
        <v>17310.344531200633</v>
      </c>
      <c r="J22" s="752">
        <f t="shared" si="1"/>
        <v>0</v>
      </c>
      <c r="K22" s="752">
        <f t="shared" si="1"/>
        <v>0</v>
      </c>
      <c r="L22" s="752">
        <f t="shared" si="1"/>
        <v>0</v>
      </c>
      <c r="M22" s="752">
        <f t="shared" si="1"/>
        <v>0</v>
      </c>
      <c r="N22" s="752">
        <f t="shared" si="1"/>
        <v>6551.2187182384259</v>
      </c>
      <c r="O22" s="752">
        <f t="shared" si="1"/>
        <v>0</v>
      </c>
      <c r="P22" s="752">
        <f t="shared" si="1"/>
        <v>0</v>
      </c>
      <c r="Q22" s="752">
        <f t="shared" si="1"/>
        <v>0</v>
      </c>
      <c r="R22" s="752">
        <f t="shared" si="1"/>
        <v>158016.9498404008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1383.8992178571023</v>
      </c>
      <c r="D24" s="635">
        <f>+landbouw!C8</f>
        <v>10041.428571428572</v>
      </c>
      <c r="E24" s="635">
        <f>+landbouw!D8</f>
        <v>4085.197779899685</v>
      </c>
      <c r="F24" s="635">
        <f>+landbouw!E8</f>
        <v>12.470687966228478</v>
      </c>
      <c r="G24" s="635">
        <f>+landbouw!F8</f>
        <v>5185.5125768390581</v>
      </c>
      <c r="H24" s="635">
        <f>+landbouw!G8</f>
        <v>0</v>
      </c>
      <c r="I24" s="635">
        <f>+landbouw!H8</f>
        <v>0</v>
      </c>
      <c r="J24" s="635">
        <f>+landbouw!I8</f>
        <v>0</v>
      </c>
      <c r="K24" s="635">
        <f>+landbouw!J8</f>
        <v>140.04487719979667</v>
      </c>
      <c r="L24" s="635">
        <f>+landbouw!K8</f>
        <v>0</v>
      </c>
      <c r="M24" s="635">
        <f>+landbouw!L8</f>
        <v>0</v>
      </c>
      <c r="N24" s="635">
        <f>+landbouw!M8</f>
        <v>0</v>
      </c>
      <c r="O24" s="635">
        <f>+landbouw!N8</f>
        <v>0</v>
      </c>
      <c r="P24" s="635">
        <f>+landbouw!O8</f>
        <v>0</v>
      </c>
      <c r="Q24" s="636">
        <f>+landbouw!P8</f>
        <v>0</v>
      </c>
      <c r="R24" s="638">
        <f>SUM(C24:Q24)</f>
        <v>20848.553711190445</v>
      </c>
      <c r="S24" s="67"/>
    </row>
    <row r="25" spans="1:19" s="441" customFormat="1" ht="15" thickBot="1">
      <c r="A25" s="771" t="s">
        <v>864</v>
      </c>
      <c r="B25" s="923"/>
      <c r="C25" s="924">
        <f>IF(Onbekend_ele_kWh="---",0,Onbekend_ele_kWh)/1000+IF(REST_rest_ele_kWh="---",0,REST_rest_ele_kWh)/1000</f>
        <v>2034.0015624469299</v>
      </c>
      <c r="D25" s="924"/>
      <c r="E25" s="924">
        <f>IF(onbekend_gas_kWh="---",0,onbekend_gas_kWh)/1000+IF(REST_rest_gas_kWh="---",0,REST_rest_gas_kWh)/1000</f>
        <v>4124.9446933343997</v>
      </c>
      <c r="F25" s="924"/>
      <c r="G25" s="924"/>
      <c r="H25" s="924"/>
      <c r="I25" s="924"/>
      <c r="J25" s="924"/>
      <c r="K25" s="924"/>
      <c r="L25" s="924"/>
      <c r="M25" s="924"/>
      <c r="N25" s="924"/>
      <c r="O25" s="924"/>
      <c r="P25" s="924"/>
      <c r="Q25" s="925"/>
      <c r="R25" s="638">
        <f>SUM(C25:Q25)</f>
        <v>6158.9462557813295</v>
      </c>
      <c r="S25" s="67"/>
    </row>
    <row r="26" spans="1:19" s="441" customFormat="1" ht="15.75" thickBot="1">
      <c r="A26" s="641" t="s">
        <v>865</v>
      </c>
      <c r="B26" s="757"/>
      <c r="C26" s="752">
        <f>SUM(C24:C25)</f>
        <v>3417.9007803040322</v>
      </c>
      <c r="D26" s="752">
        <f t="shared" ref="D26:R26" si="2">SUM(D24:D25)</f>
        <v>10041.428571428572</v>
      </c>
      <c r="E26" s="752">
        <f t="shared" si="2"/>
        <v>8210.1424732340856</v>
      </c>
      <c r="F26" s="752">
        <f t="shared" si="2"/>
        <v>12.470687966228478</v>
      </c>
      <c r="G26" s="752">
        <f t="shared" si="2"/>
        <v>5185.5125768390581</v>
      </c>
      <c r="H26" s="752">
        <f t="shared" si="2"/>
        <v>0</v>
      </c>
      <c r="I26" s="752">
        <f t="shared" si="2"/>
        <v>0</v>
      </c>
      <c r="J26" s="752">
        <f t="shared" si="2"/>
        <v>0</v>
      </c>
      <c r="K26" s="752">
        <f t="shared" si="2"/>
        <v>140.04487719979667</v>
      </c>
      <c r="L26" s="752">
        <f t="shared" si="2"/>
        <v>0</v>
      </c>
      <c r="M26" s="752">
        <f t="shared" si="2"/>
        <v>0</v>
      </c>
      <c r="N26" s="752">
        <f t="shared" si="2"/>
        <v>0</v>
      </c>
      <c r="O26" s="752">
        <f t="shared" si="2"/>
        <v>0</v>
      </c>
      <c r="P26" s="752">
        <f t="shared" si="2"/>
        <v>0</v>
      </c>
      <c r="Q26" s="752">
        <f t="shared" si="2"/>
        <v>0</v>
      </c>
      <c r="R26" s="752">
        <f t="shared" si="2"/>
        <v>27007.499966971773</v>
      </c>
      <c r="S26" s="67"/>
    </row>
    <row r="27" spans="1:19" s="441" customFormat="1" ht="17.25" thickTop="1" thickBot="1">
      <c r="A27" s="642" t="s">
        <v>109</v>
      </c>
      <c r="B27" s="744"/>
      <c r="C27" s="643">
        <f ca="1">C22+C16+C26</f>
        <v>56007.815576621098</v>
      </c>
      <c r="D27" s="643">
        <f t="shared" ref="D27:R27" ca="1" si="3">D22+D16+D26</f>
        <v>10041.428571428572</v>
      </c>
      <c r="E27" s="643">
        <f t="shared" ca="1" si="3"/>
        <v>97486.443303014268</v>
      </c>
      <c r="F27" s="643">
        <f t="shared" si="3"/>
        <v>2124.4926896744901</v>
      </c>
      <c r="G27" s="643">
        <f t="shared" ca="1" si="3"/>
        <v>51593.841981327416</v>
      </c>
      <c r="H27" s="643">
        <f t="shared" si="3"/>
        <v>133589.41272574276</v>
      </c>
      <c r="I27" s="643">
        <f t="shared" si="3"/>
        <v>17310.344531200633</v>
      </c>
      <c r="J27" s="643">
        <f t="shared" si="3"/>
        <v>0</v>
      </c>
      <c r="K27" s="643">
        <f t="shared" si="3"/>
        <v>1103.4964664571858</v>
      </c>
      <c r="L27" s="643">
        <f t="shared" si="3"/>
        <v>0</v>
      </c>
      <c r="M27" s="643">
        <f t="shared" ca="1" si="3"/>
        <v>0</v>
      </c>
      <c r="N27" s="643">
        <f t="shared" si="3"/>
        <v>6551.2187182384259</v>
      </c>
      <c r="O27" s="643">
        <f t="shared" ca="1" si="3"/>
        <v>9157.6968552826984</v>
      </c>
      <c r="P27" s="643">
        <f t="shared" si="3"/>
        <v>81.293333333333337</v>
      </c>
      <c r="Q27" s="643">
        <f t="shared" si="3"/>
        <v>190.66666666666669</v>
      </c>
      <c r="R27" s="643">
        <f t="shared" ca="1" si="3"/>
        <v>385238.15141898749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3331.010021833375</v>
      </c>
      <c r="D40" s="635">
        <f ca="1">tertiair!C20</f>
        <v>0</v>
      </c>
      <c r="E40" s="635">
        <f ca="1">tertiair!D20</f>
        <v>2927.432778360549</v>
      </c>
      <c r="F40" s="635">
        <f>tertiair!E20</f>
        <v>63.815559000450769</v>
      </c>
      <c r="G40" s="635">
        <f ca="1">tertiair!F20</f>
        <v>745.26598890300465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7067.5243480973795</v>
      </c>
    </row>
    <row r="41" spans="1:18">
      <c r="A41" s="762" t="s">
        <v>214</v>
      </c>
      <c r="B41" s="769"/>
      <c r="C41" s="635">
        <f ca="1">huishoudens!B12</f>
        <v>7188.9398323798068</v>
      </c>
      <c r="D41" s="635">
        <f ca="1">huishoudens!C12</f>
        <v>0</v>
      </c>
      <c r="E41" s="635">
        <f>huishoudens!D12</f>
        <v>14578.665383256626</v>
      </c>
      <c r="F41" s="635">
        <f>huishoudens!E12</f>
        <v>281.23098235523037</v>
      </c>
      <c r="G41" s="635">
        <f>huishoudens!F12</f>
        <v>11291.217833044746</v>
      </c>
      <c r="H41" s="635">
        <f>huishoudens!G12</f>
        <v>0</v>
      </c>
      <c r="I41" s="635">
        <f>huishoudens!H12</f>
        <v>0</v>
      </c>
      <c r="J41" s="635">
        <f>huishoudens!I12</f>
        <v>0</v>
      </c>
      <c r="K41" s="635">
        <f>huishoudens!J12</f>
        <v>337.09497411457528</v>
      </c>
      <c r="L41" s="635">
        <f>huishoudens!K12</f>
        <v>0</v>
      </c>
      <c r="M41" s="635">
        <f>huishoudens!L12</f>
        <v>0</v>
      </c>
      <c r="N41" s="635">
        <f>huishoudens!M12</f>
        <v>0</v>
      </c>
      <c r="O41" s="635">
        <f>huishoudens!N12</f>
        <v>0</v>
      </c>
      <c r="P41" s="635">
        <f>huishoudens!O12</f>
        <v>0</v>
      </c>
      <c r="Q41" s="710">
        <f>huishoudens!P12</f>
        <v>0</v>
      </c>
      <c r="R41" s="790">
        <f t="shared" ca="1" si="4"/>
        <v>33677.149005150983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669.50483623637115</v>
      </c>
      <c r="D43" s="635">
        <f ca="1">industrie!C22</f>
        <v>0</v>
      </c>
      <c r="E43" s="635">
        <f>industrie!D22</f>
        <v>526.7158653224501</v>
      </c>
      <c r="F43" s="635">
        <f>industrie!E22</f>
        <v>8.9992644916348219</v>
      </c>
      <c r="G43" s="635">
        <f>industrie!F22</f>
        <v>354.54012905064013</v>
      </c>
      <c r="H43" s="635">
        <f>industrie!G22</f>
        <v>0</v>
      </c>
      <c r="I43" s="635">
        <f>industrie!H22</f>
        <v>0</v>
      </c>
      <c r="J43" s="635">
        <f>industrie!I22</f>
        <v>0</v>
      </c>
      <c r="K43" s="635">
        <f>industrie!J22</f>
        <v>3.9668884825404671</v>
      </c>
      <c r="L43" s="635">
        <f>industrie!K22</f>
        <v>0</v>
      </c>
      <c r="M43" s="635">
        <f>industrie!L22</f>
        <v>0</v>
      </c>
      <c r="N43" s="635">
        <f>industrie!M22</f>
        <v>0</v>
      </c>
      <c r="O43" s="635">
        <f>industrie!N22</f>
        <v>0</v>
      </c>
      <c r="P43" s="635">
        <f>industrie!O22</f>
        <v>0</v>
      </c>
      <c r="Q43" s="710">
        <f>industrie!P22</f>
        <v>0</v>
      </c>
      <c r="R43" s="789">
        <f t="shared" ca="1" si="4"/>
        <v>1563.7269835836369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11189.454690449553</v>
      </c>
      <c r="D46" s="668">
        <f t="shared" ref="D46:Q46" ca="1" si="5">SUM(D39:D45)</f>
        <v>0</v>
      </c>
      <c r="E46" s="668">
        <f t="shared" ca="1" si="5"/>
        <v>18032.814026939624</v>
      </c>
      <c r="F46" s="668">
        <f t="shared" si="5"/>
        <v>354.04580584731599</v>
      </c>
      <c r="G46" s="668">
        <f t="shared" ca="1" si="5"/>
        <v>12391.023950998389</v>
      </c>
      <c r="H46" s="668">
        <f t="shared" si="5"/>
        <v>0</v>
      </c>
      <c r="I46" s="668">
        <f t="shared" si="5"/>
        <v>0</v>
      </c>
      <c r="J46" s="668">
        <f t="shared" si="5"/>
        <v>0</v>
      </c>
      <c r="K46" s="668">
        <f t="shared" si="5"/>
        <v>341.06186259711575</v>
      </c>
      <c r="L46" s="668">
        <f t="shared" si="5"/>
        <v>0</v>
      </c>
      <c r="M46" s="668">
        <f t="shared" ca="1" si="5"/>
        <v>0</v>
      </c>
      <c r="N46" s="668">
        <f t="shared" si="5"/>
        <v>0</v>
      </c>
      <c r="O46" s="668">
        <f t="shared" ca="1" si="5"/>
        <v>0</v>
      </c>
      <c r="P46" s="668">
        <f t="shared" si="5"/>
        <v>0</v>
      </c>
      <c r="Q46" s="668">
        <f t="shared" si="5"/>
        <v>0</v>
      </c>
      <c r="R46" s="668">
        <f ca="1">SUM(R39:R45)</f>
        <v>42308.400336831997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1.5391463177652023</v>
      </c>
      <c r="D49" s="635">
        <f ca="1">transport!C58</f>
        <v>0</v>
      </c>
      <c r="E49" s="635">
        <f>transport!D58</f>
        <v>0</v>
      </c>
      <c r="F49" s="635">
        <f>transport!E58</f>
        <v>0</v>
      </c>
      <c r="G49" s="635">
        <f>transport!F58</f>
        <v>0</v>
      </c>
      <c r="H49" s="635">
        <f>transport!G58</f>
        <v>418.94072260796446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420.47986892572965</v>
      </c>
    </row>
    <row r="50" spans="1:18">
      <c r="A50" s="765" t="s">
        <v>296</v>
      </c>
      <c r="B50" s="775"/>
      <c r="C50" s="930">
        <f ca="1">transport!B18</f>
        <v>0.30814636227130671</v>
      </c>
      <c r="D50" s="930">
        <f>transport!C18</f>
        <v>0</v>
      </c>
      <c r="E50" s="930">
        <f>transport!D18</f>
        <v>0.9987406759724009</v>
      </c>
      <c r="F50" s="930">
        <f>transport!E18</f>
        <v>125.38318854045953</v>
      </c>
      <c r="G50" s="930">
        <f>transport!F18</f>
        <v>0</v>
      </c>
      <c r="H50" s="930">
        <f>transport!G18</f>
        <v>35249.432475165355</v>
      </c>
      <c r="I50" s="930">
        <f>transport!H18</f>
        <v>4310.2757882689575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39686.398339013016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1.847292680036509</v>
      </c>
      <c r="D52" s="668">
        <f t="shared" ref="D52:Q52" ca="1" si="6">SUM(D48:D51)</f>
        <v>0</v>
      </c>
      <c r="E52" s="668">
        <f t="shared" si="6"/>
        <v>0.9987406759724009</v>
      </c>
      <c r="F52" s="668">
        <f t="shared" si="6"/>
        <v>125.38318854045953</v>
      </c>
      <c r="G52" s="668">
        <f t="shared" si="6"/>
        <v>0</v>
      </c>
      <c r="H52" s="668">
        <f t="shared" si="6"/>
        <v>35668.373197773319</v>
      </c>
      <c r="I52" s="668">
        <f t="shared" si="6"/>
        <v>4310.2757882689575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40106.878207938746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294.49817747832316</v>
      </c>
      <c r="D54" s="930">
        <f ca="1">+landbouw!C12</f>
        <v>2386.3159663865549</v>
      </c>
      <c r="E54" s="930">
        <f>+landbouw!D12</f>
        <v>825.20995153973638</v>
      </c>
      <c r="F54" s="930">
        <f>+landbouw!E12</f>
        <v>2.8308461683338648</v>
      </c>
      <c r="G54" s="930">
        <f>+landbouw!F12</f>
        <v>1384.5318580160285</v>
      </c>
      <c r="H54" s="930">
        <f>+landbouw!G12</f>
        <v>0</v>
      </c>
      <c r="I54" s="930">
        <f>+landbouw!H12</f>
        <v>0</v>
      </c>
      <c r="J54" s="930">
        <f>+landbouw!I12</f>
        <v>0</v>
      </c>
      <c r="K54" s="930">
        <f>+landbouw!J12</f>
        <v>49.57588652872802</v>
      </c>
      <c r="L54" s="930">
        <f>+landbouw!K12</f>
        <v>0</v>
      </c>
      <c r="M54" s="930">
        <f>+landbouw!L12</f>
        <v>0</v>
      </c>
      <c r="N54" s="930">
        <f>+landbouw!M12</f>
        <v>0</v>
      </c>
      <c r="O54" s="930">
        <f>+landbouw!N12</f>
        <v>0</v>
      </c>
      <c r="P54" s="930">
        <f>+landbouw!O12</f>
        <v>0</v>
      </c>
      <c r="Q54" s="931">
        <f>+landbouw!P12</f>
        <v>0</v>
      </c>
      <c r="R54" s="667">
        <f ca="1">SUM(C54:Q54)</f>
        <v>4942.9626861177048</v>
      </c>
    </row>
    <row r="55" spans="1:18" ht="15" thickBot="1">
      <c r="A55" s="765" t="s">
        <v>864</v>
      </c>
      <c r="B55" s="775"/>
      <c r="C55" s="930">
        <f ca="1">C25*'EF ele_warmte'!B12</f>
        <v>432.84203459282151</v>
      </c>
      <c r="D55" s="930"/>
      <c r="E55" s="930">
        <f>E25*EF_CO2_aardgas</f>
        <v>833.23882805354879</v>
      </c>
      <c r="F55" s="930"/>
      <c r="G55" s="930"/>
      <c r="H55" s="930"/>
      <c r="I55" s="930"/>
      <c r="J55" s="930"/>
      <c r="K55" s="930"/>
      <c r="L55" s="930"/>
      <c r="M55" s="930"/>
      <c r="N55" s="930"/>
      <c r="O55" s="930"/>
      <c r="P55" s="930"/>
      <c r="Q55" s="931"/>
      <c r="R55" s="667">
        <f ca="1">SUM(C55:Q55)</f>
        <v>1266.0808626463704</v>
      </c>
    </row>
    <row r="56" spans="1:18" ht="15.75" thickBot="1">
      <c r="A56" s="763" t="s">
        <v>865</v>
      </c>
      <c r="B56" s="776"/>
      <c r="C56" s="668">
        <f ca="1">SUM(C54:C55)</f>
        <v>727.34021207114461</v>
      </c>
      <c r="D56" s="668">
        <f t="shared" ref="D56:Q56" ca="1" si="7">SUM(D54:D55)</f>
        <v>2386.3159663865549</v>
      </c>
      <c r="E56" s="668">
        <f t="shared" si="7"/>
        <v>1658.4487795932851</v>
      </c>
      <c r="F56" s="668">
        <f t="shared" si="7"/>
        <v>2.8308461683338648</v>
      </c>
      <c r="G56" s="668">
        <f t="shared" si="7"/>
        <v>1384.5318580160285</v>
      </c>
      <c r="H56" s="668">
        <f t="shared" si="7"/>
        <v>0</v>
      </c>
      <c r="I56" s="668">
        <f t="shared" si="7"/>
        <v>0</v>
      </c>
      <c r="J56" s="668">
        <f t="shared" si="7"/>
        <v>0</v>
      </c>
      <c r="K56" s="668">
        <f t="shared" si="7"/>
        <v>49.57588652872802</v>
      </c>
      <c r="L56" s="668">
        <f t="shared" si="7"/>
        <v>0</v>
      </c>
      <c r="M56" s="668">
        <f t="shared" si="7"/>
        <v>0</v>
      </c>
      <c r="N56" s="668">
        <f t="shared" si="7"/>
        <v>0</v>
      </c>
      <c r="O56" s="668">
        <f t="shared" si="7"/>
        <v>0</v>
      </c>
      <c r="P56" s="668">
        <f t="shared" si="7"/>
        <v>0</v>
      </c>
      <c r="Q56" s="669">
        <f t="shared" si="7"/>
        <v>0</v>
      </c>
      <c r="R56" s="670">
        <f ca="1">SUM(R54:R55)</f>
        <v>6209.0435487640752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11918.642195200735</v>
      </c>
      <c r="D61" s="676">
        <f t="shared" ref="D61:Q61" ca="1" si="8">D46+D52+D56</f>
        <v>2386.3159663865549</v>
      </c>
      <c r="E61" s="676">
        <f t="shared" ca="1" si="8"/>
        <v>19692.26154720888</v>
      </c>
      <c r="F61" s="676">
        <f t="shared" si="8"/>
        <v>482.2598405561094</v>
      </c>
      <c r="G61" s="676">
        <f t="shared" ca="1" si="8"/>
        <v>13775.555809014419</v>
      </c>
      <c r="H61" s="676">
        <f t="shared" si="8"/>
        <v>35668.373197773319</v>
      </c>
      <c r="I61" s="676">
        <f t="shared" si="8"/>
        <v>4310.2757882689575</v>
      </c>
      <c r="J61" s="676">
        <f t="shared" si="8"/>
        <v>0</v>
      </c>
      <c r="K61" s="676">
        <f t="shared" si="8"/>
        <v>390.63774912584375</v>
      </c>
      <c r="L61" s="676">
        <f t="shared" si="8"/>
        <v>0</v>
      </c>
      <c r="M61" s="676">
        <f t="shared" ca="1" si="8"/>
        <v>0</v>
      </c>
      <c r="N61" s="676">
        <f t="shared" si="8"/>
        <v>0</v>
      </c>
      <c r="O61" s="676">
        <f t="shared" ca="1" si="8"/>
        <v>0</v>
      </c>
      <c r="P61" s="676">
        <f t="shared" si="8"/>
        <v>0</v>
      </c>
      <c r="Q61" s="676">
        <f t="shared" si="8"/>
        <v>0</v>
      </c>
      <c r="R61" s="676">
        <f ca="1">R46+R52+R56</f>
        <v>88624.322093534822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0.21280319670556549</v>
      </c>
      <c r="D63" s="720">
        <f t="shared" ca="1" si="9"/>
        <v>0.23764705882352941</v>
      </c>
      <c r="E63" s="932">
        <f t="shared" ca="1" si="9"/>
        <v>0.20199999999999999</v>
      </c>
      <c r="F63" s="720">
        <f t="shared" si="9"/>
        <v>0.22700000000000006</v>
      </c>
      <c r="G63" s="720">
        <f t="shared" ca="1" si="9"/>
        <v>0.26699999999999996</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2606.7747678874166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7029</v>
      </c>
      <c r="D76" s="942">
        <f>'lokale energieproductie'!C8</f>
        <v>8269.4117647058829</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1670.4211764705885</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2606.7747678874166</v>
      </c>
      <c r="C78" s="691">
        <f>SUM(C72:C77)</f>
        <v>7029</v>
      </c>
      <c r="D78" s="692">
        <f t="shared" ref="D78:H78" si="10">SUM(D76:D77)</f>
        <v>8269.4117647058829</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1670.4211764705885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10041.428571428572</v>
      </c>
      <c r="D87" s="713">
        <f>'lokale energieproductie'!C17</f>
        <v>11813.445378151262</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2386.3159663865549</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10041.428571428572</v>
      </c>
      <c r="D90" s="691">
        <f t="shared" ref="D90:H90" si="12">SUM(D87:D89)</f>
        <v>11813.445378151262</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2386.3159663865549</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33782.104515687446</v>
      </c>
      <c r="C4" s="445">
        <f>huishoudens!C8</f>
        <v>0</v>
      </c>
      <c r="D4" s="445">
        <f>huishoudens!D8</f>
        <v>72171.61080820112</v>
      </c>
      <c r="E4" s="445">
        <f>huishoudens!E8</f>
        <v>1238.9030059701777</v>
      </c>
      <c r="F4" s="445">
        <f>huishoudens!F8</f>
        <v>42289.205367208786</v>
      </c>
      <c r="G4" s="445">
        <f>huishoudens!G8</f>
        <v>0</v>
      </c>
      <c r="H4" s="445">
        <f>huishoudens!H8</f>
        <v>0</v>
      </c>
      <c r="I4" s="445">
        <f>huishoudens!I8</f>
        <v>0</v>
      </c>
      <c r="J4" s="445">
        <f>huishoudens!J8</f>
        <v>952.24568958919576</v>
      </c>
      <c r="K4" s="445">
        <f>huishoudens!K8</f>
        <v>0</v>
      </c>
      <c r="L4" s="445">
        <f>huishoudens!L8</f>
        <v>0</v>
      </c>
      <c r="M4" s="445">
        <f>huishoudens!M8</f>
        <v>0</v>
      </c>
      <c r="N4" s="445">
        <f>huishoudens!N8</f>
        <v>8460.9811674596749</v>
      </c>
      <c r="O4" s="445">
        <f>huishoudens!O8</f>
        <v>78.166666666666671</v>
      </c>
      <c r="P4" s="446">
        <f>huishoudens!P8</f>
        <v>190.66666666666669</v>
      </c>
      <c r="Q4" s="447">
        <f>SUM(B4:P4)</f>
        <v>159163.88388744975</v>
      </c>
    </row>
    <row r="5" spans="1:17">
      <c r="A5" s="444" t="s">
        <v>149</v>
      </c>
      <c r="B5" s="445">
        <f ca="1">tertiair!B16</f>
        <v>14517.553442562814</v>
      </c>
      <c r="C5" s="445">
        <f ca="1">tertiair!C16</f>
        <v>0</v>
      </c>
      <c r="D5" s="445">
        <f ca="1">tertiair!D16</f>
        <v>14492.241477032419</v>
      </c>
      <c r="E5" s="445">
        <f>tertiair!E16</f>
        <v>281.12581057467298</v>
      </c>
      <c r="F5" s="445">
        <f ca="1">tertiair!F16</f>
        <v>2791.2583854045115</v>
      </c>
      <c r="G5" s="445">
        <f>tertiair!G16</f>
        <v>0</v>
      </c>
      <c r="H5" s="445">
        <f>tertiair!H16</f>
        <v>0</v>
      </c>
      <c r="I5" s="445">
        <f>tertiair!I16</f>
        <v>0</v>
      </c>
      <c r="J5" s="445">
        <f>tertiair!J16</f>
        <v>0</v>
      </c>
      <c r="K5" s="445">
        <f>tertiair!K16</f>
        <v>0</v>
      </c>
      <c r="L5" s="445">
        <f ca="1">tertiair!L16</f>
        <v>0</v>
      </c>
      <c r="M5" s="445">
        <f>tertiair!M16</f>
        <v>0</v>
      </c>
      <c r="N5" s="445">
        <f ca="1">tertiair!N16</f>
        <v>573.4949799968249</v>
      </c>
      <c r="O5" s="445">
        <f>tertiair!O16</f>
        <v>3.1266666666666669</v>
      </c>
      <c r="P5" s="446">
        <f>tertiair!P16</f>
        <v>0</v>
      </c>
      <c r="Q5" s="444">
        <f t="shared" ref="Q5:Q14" ca="1" si="0">SUM(B5:P5)</f>
        <v>32658.800762237908</v>
      </c>
    </row>
    <row r="6" spans="1:17">
      <c r="A6" s="444" t="s">
        <v>187</v>
      </c>
      <c r="B6" s="445">
        <f>'openbare verlichting'!B8</f>
        <v>1135.454</v>
      </c>
      <c r="C6" s="445"/>
      <c r="D6" s="445"/>
      <c r="E6" s="445"/>
      <c r="F6" s="445"/>
      <c r="G6" s="445"/>
      <c r="H6" s="445"/>
      <c r="I6" s="445"/>
      <c r="J6" s="445"/>
      <c r="K6" s="445"/>
      <c r="L6" s="445"/>
      <c r="M6" s="445"/>
      <c r="N6" s="445"/>
      <c r="O6" s="445"/>
      <c r="P6" s="446"/>
      <c r="Q6" s="444">
        <f t="shared" si="0"/>
        <v>1135.454</v>
      </c>
    </row>
    <row r="7" spans="1:17">
      <c r="A7" s="444" t="s">
        <v>105</v>
      </c>
      <c r="B7" s="445">
        <f>landbouw!B8</f>
        <v>1383.8992178571023</v>
      </c>
      <c r="C7" s="445">
        <f>landbouw!C8</f>
        <v>10041.428571428572</v>
      </c>
      <c r="D7" s="445">
        <f>landbouw!D8</f>
        <v>4085.197779899685</v>
      </c>
      <c r="E7" s="445">
        <f>landbouw!E8</f>
        <v>12.470687966228478</v>
      </c>
      <c r="F7" s="445">
        <f>landbouw!F8</f>
        <v>5185.5125768390581</v>
      </c>
      <c r="G7" s="445">
        <f>landbouw!G8</f>
        <v>0</v>
      </c>
      <c r="H7" s="445">
        <f>landbouw!H8</f>
        <v>0</v>
      </c>
      <c r="I7" s="445">
        <f>landbouw!I8</f>
        <v>0</v>
      </c>
      <c r="J7" s="445">
        <f>landbouw!J8</f>
        <v>140.04487719979667</v>
      </c>
      <c r="K7" s="445">
        <f>landbouw!K8</f>
        <v>0</v>
      </c>
      <c r="L7" s="445">
        <f>landbouw!L8</f>
        <v>0</v>
      </c>
      <c r="M7" s="445">
        <f>landbouw!M8</f>
        <v>0</v>
      </c>
      <c r="N7" s="445">
        <f>landbouw!N8</f>
        <v>0</v>
      </c>
      <c r="O7" s="445">
        <f>landbouw!O8</f>
        <v>0</v>
      </c>
      <c r="P7" s="446">
        <f>landbouw!P8</f>
        <v>0</v>
      </c>
      <c r="Q7" s="444">
        <f t="shared" si="0"/>
        <v>20848.553711190445</v>
      </c>
    </row>
    <row r="8" spans="1:17">
      <c r="A8" s="444" t="s">
        <v>613</v>
      </c>
      <c r="B8" s="445">
        <f>industrie!B18</f>
        <v>3146.1220818158017</v>
      </c>
      <c r="C8" s="445">
        <f>industrie!C18</f>
        <v>0</v>
      </c>
      <c r="D8" s="445">
        <f>industrie!D18</f>
        <v>2607.5042837745054</v>
      </c>
      <c r="E8" s="445">
        <f>industrie!E18</f>
        <v>39.644336967554281</v>
      </c>
      <c r="F8" s="445">
        <f>industrie!F18</f>
        <v>1327.8656518750565</v>
      </c>
      <c r="G8" s="445">
        <f>industrie!G18</f>
        <v>0</v>
      </c>
      <c r="H8" s="445">
        <f>industrie!H18</f>
        <v>0</v>
      </c>
      <c r="I8" s="445">
        <f>industrie!I18</f>
        <v>0</v>
      </c>
      <c r="J8" s="445">
        <f>industrie!J18</f>
        <v>11.20589966819341</v>
      </c>
      <c r="K8" s="445">
        <f>industrie!K18</f>
        <v>0</v>
      </c>
      <c r="L8" s="445">
        <f>industrie!L18</f>
        <v>0</v>
      </c>
      <c r="M8" s="445">
        <f>industrie!M18</f>
        <v>0</v>
      </c>
      <c r="N8" s="445">
        <f>industrie!N18</f>
        <v>123.22070782619797</v>
      </c>
      <c r="O8" s="445">
        <f>industrie!O18</f>
        <v>0</v>
      </c>
      <c r="P8" s="446">
        <f>industrie!P18</f>
        <v>0</v>
      </c>
      <c r="Q8" s="444">
        <f t="shared" si="0"/>
        <v>7255.5629619273104</v>
      </c>
    </row>
    <row r="9" spans="1:17" s="450" customFormat="1">
      <c r="A9" s="448" t="s">
        <v>555</v>
      </c>
      <c r="B9" s="449">
        <f>transport!B14</f>
        <v>1.4480344611442</v>
      </c>
      <c r="C9" s="449">
        <f>transport!C14</f>
        <v>0</v>
      </c>
      <c r="D9" s="449">
        <f>transport!D14</f>
        <v>4.9442607721405984</v>
      </c>
      <c r="E9" s="449">
        <f>transport!E14</f>
        <v>552.34884819585693</v>
      </c>
      <c r="F9" s="449">
        <f>transport!F14</f>
        <v>0</v>
      </c>
      <c r="G9" s="449">
        <f>transport!G14</f>
        <v>132020.3463489339</v>
      </c>
      <c r="H9" s="449">
        <f>transport!H14</f>
        <v>17310.344531200633</v>
      </c>
      <c r="I9" s="449">
        <f>transport!I14</f>
        <v>0</v>
      </c>
      <c r="J9" s="449">
        <f>transport!J14</f>
        <v>0</v>
      </c>
      <c r="K9" s="449">
        <f>transport!K14</f>
        <v>0</v>
      </c>
      <c r="L9" s="449">
        <f>transport!L14</f>
        <v>0</v>
      </c>
      <c r="M9" s="449">
        <f>transport!M14</f>
        <v>6484.0373231581652</v>
      </c>
      <c r="N9" s="449">
        <f>transport!N14</f>
        <v>0</v>
      </c>
      <c r="O9" s="449">
        <f>transport!O14</f>
        <v>0</v>
      </c>
      <c r="P9" s="449">
        <f>transport!P14</f>
        <v>0</v>
      </c>
      <c r="Q9" s="448">
        <f>SUM(B9:P9)</f>
        <v>156373.46934672183</v>
      </c>
    </row>
    <row r="10" spans="1:17">
      <c r="A10" s="444" t="s">
        <v>545</v>
      </c>
      <c r="B10" s="445">
        <f>transport!B54</f>
        <v>7.2327217898646765</v>
      </c>
      <c r="C10" s="445">
        <f>transport!C54</f>
        <v>0</v>
      </c>
      <c r="D10" s="445">
        <f>transport!D54</f>
        <v>0</v>
      </c>
      <c r="E10" s="445">
        <f>transport!E54</f>
        <v>0</v>
      </c>
      <c r="F10" s="445">
        <f>transport!F54</f>
        <v>0</v>
      </c>
      <c r="G10" s="445">
        <f>transport!G54</f>
        <v>1569.0663768088555</v>
      </c>
      <c r="H10" s="445">
        <f>transport!H54</f>
        <v>0</v>
      </c>
      <c r="I10" s="445">
        <f>transport!I54</f>
        <v>0</v>
      </c>
      <c r="J10" s="445">
        <f>transport!J54</f>
        <v>0</v>
      </c>
      <c r="K10" s="445">
        <f>transport!K54</f>
        <v>0</v>
      </c>
      <c r="L10" s="445">
        <f>transport!L54</f>
        <v>0</v>
      </c>
      <c r="M10" s="445">
        <f>transport!M54</f>
        <v>67.181395080260828</v>
      </c>
      <c r="N10" s="445">
        <f>transport!N54</f>
        <v>0</v>
      </c>
      <c r="O10" s="445">
        <f>transport!O54</f>
        <v>0</v>
      </c>
      <c r="P10" s="446">
        <f>transport!P54</f>
        <v>0</v>
      </c>
      <c r="Q10" s="444">
        <f t="shared" si="0"/>
        <v>1643.480493678981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2034.0015624469299</v>
      </c>
      <c r="C14" s="452"/>
      <c r="D14" s="452">
        <f>'SEAP template'!E25</f>
        <v>4124.9446933343997</v>
      </c>
      <c r="E14" s="452"/>
      <c r="F14" s="452"/>
      <c r="G14" s="452"/>
      <c r="H14" s="452"/>
      <c r="I14" s="452"/>
      <c r="J14" s="452"/>
      <c r="K14" s="452"/>
      <c r="L14" s="452"/>
      <c r="M14" s="452"/>
      <c r="N14" s="452"/>
      <c r="O14" s="452"/>
      <c r="P14" s="453"/>
      <c r="Q14" s="444">
        <f t="shared" si="0"/>
        <v>6158.9462557813295</v>
      </c>
    </row>
    <row r="15" spans="1:17" s="457" customFormat="1">
      <c r="A15" s="454" t="s">
        <v>549</v>
      </c>
      <c r="B15" s="455">
        <f ca="1">SUM(B4:B14)</f>
        <v>56007.815576621098</v>
      </c>
      <c r="C15" s="455">
        <f t="shared" ref="C15:Q15" ca="1" si="1">SUM(C4:C14)</f>
        <v>10041.428571428572</v>
      </c>
      <c r="D15" s="455">
        <f t="shared" ca="1" si="1"/>
        <v>97486.443303014268</v>
      </c>
      <c r="E15" s="455">
        <f t="shared" si="1"/>
        <v>2124.4926896744901</v>
      </c>
      <c r="F15" s="455">
        <f t="shared" ca="1" si="1"/>
        <v>51593.841981327416</v>
      </c>
      <c r="G15" s="455">
        <f t="shared" si="1"/>
        <v>133589.41272574276</v>
      </c>
      <c r="H15" s="455">
        <f t="shared" si="1"/>
        <v>17310.344531200633</v>
      </c>
      <c r="I15" s="455">
        <f t="shared" si="1"/>
        <v>0</v>
      </c>
      <c r="J15" s="455">
        <f t="shared" si="1"/>
        <v>1103.4964664571858</v>
      </c>
      <c r="K15" s="455">
        <f t="shared" si="1"/>
        <v>0</v>
      </c>
      <c r="L15" s="455">
        <f t="shared" ca="1" si="1"/>
        <v>0</v>
      </c>
      <c r="M15" s="455">
        <f t="shared" si="1"/>
        <v>6551.2187182384259</v>
      </c>
      <c r="N15" s="455">
        <f t="shared" ca="1" si="1"/>
        <v>9157.6968552826984</v>
      </c>
      <c r="O15" s="455">
        <f t="shared" si="1"/>
        <v>81.293333333333337</v>
      </c>
      <c r="P15" s="455">
        <f t="shared" si="1"/>
        <v>190.66666666666669</v>
      </c>
      <c r="Q15" s="455">
        <f t="shared" ca="1" si="1"/>
        <v>385238.1514189876</v>
      </c>
    </row>
    <row r="17" spans="1:17">
      <c r="A17" s="458" t="s">
        <v>550</v>
      </c>
      <c r="B17" s="725">
        <f ca="1">huishoudens!B10</f>
        <v>0.21280319670556547</v>
      </c>
      <c r="C17" s="725">
        <f ca="1">huishoudens!C10</f>
        <v>0.23764705882352941</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7188.9398323798068</v>
      </c>
      <c r="C22" s="445">
        <f t="shared" ref="C22:C32" ca="1" si="3">C4*$C$17</f>
        <v>0</v>
      </c>
      <c r="D22" s="445">
        <f t="shared" ref="D22:D32" si="4">D4*$D$17</f>
        <v>14578.665383256626</v>
      </c>
      <c r="E22" s="445">
        <f t="shared" ref="E22:E32" si="5">E4*$E$17</f>
        <v>281.23098235523037</v>
      </c>
      <c r="F22" s="445">
        <f t="shared" ref="F22:F32" si="6">F4*$F$17</f>
        <v>11291.217833044746</v>
      </c>
      <c r="G22" s="445">
        <f t="shared" ref="G22:G32" si="7">G4*$G$17</f>
        <v>0</v>
      </c>
      <c r="H22" s="445">
        <f t="shared" ref="H22:H32" si="8">H4*$H$17</f>
        <v>0</v>
      </c>
      <c r="I22" s="445">
        <f t="shared" ref="I22:I32" si="9">I4*$I$17</f>
        <v>0</v>
      </c>
      <c r="J22" s="445">
        <f t="shared" ref="J22:J32" si="10">J4*$J$17</f>
        <v>337.09497411457528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33677.149005150983</v>
      </c>
    </row>
    <row r="23" spans="1:17">
      <c r="A23" s="444" t="s">
        <v>149</v>
      </c>
      <c r="B23" s="445">
        <f t="shared" ca="1" si="2"/>
        <v>3089.3817809212537</v>
      </c>
      <c r="C23" s="445">
        <f t="shared" ca="1" si="3"/>
        <v>0</v>
      </c>
      <c r="D23" s="445">
        <f t="shared" ca="1" si="4"/>
        <v>2927.432778360549</v>
      </c>
      <c r="E23" s="445">
        <f t="shared" si="5"/>
        <v>63.815559000450769</v>
      </c>
      <c r="F23" s="445">
        <f t="shared" ca="1" si="6"/>
        <v>745.26598890300465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6825.8961071852582</v>
      </c>
    </row>
    <row r="24" spans="1:17">
      <c r="A24" s="444" t="s">
        <v>187</v>
      </c>
      <c r="B24" s="445">
        <f t="shared" ca="1" si="2"/>
        <v>241.62824091212113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241.62824091212113</v>
      </c>
    </row>
    <row r="25" spans="1:17">
      <c r="A25" s="444" t="s">
        <v>105</v>
      </c>
      <c r="B25" s="445">
        <f t="shared" ca="1" si="2"/>
        <v>294.49817747832316</v>
      </c>
      <c r="C25" s="445">
        <f t="shared" ca="1" si="3"/>
        <v>2386.3159663865549</v>
      </c>
      <c r="D25" s="445">
        <f t="shared" si="4"/>
        <v>825.20995153973638</v>
      </c>
      <c r="E25" s="445">
        <f t="shared" si="5"/>
        <v>2.8308461683338648</v>
      </c>
      <c r="F25" s="445">
        <f t="shared" si="6"/>
        <v>1384.5318580160285</v>
      </c>
      <c r="G25" s="445">
        <f t="shared" si="7"/>
        <v>0</v>
      </c>
      <c r="H25" s="445">
        <f t="shared" si="8"/>
        <v>0</v>
      </c>
      <c r="I25" s="445">
        <f t="shared" si="9"/>
        <v>0</v>
      </c>
      <c r="J25" s="445">
        <f t="shared" si="10"/>
        <v>49.57588652872802</v>
      </c>
      <c r="K25" s="445">
        <f t="shared" si="11"/>
        <v>0</v>
      </c>
      <c r="L25" s="445">
        <f t="shared" si="12"/>
        <v>0</v>
      </c>
      <c r="M25" s="445">
        <f t="shared" si="13"/>
        <v>0</v>
      </c>
      <c r="N25" s="445">
        <f t="shared" si="14"/>
        <v>0</v>
      </c>
      <c r="O25" s="445">
        <f t="shared" si="15"/>
        <v>0</v>
      </c>
      <c r="P25" s="446">
        <f t="shared" si="16"/>
        <v>0</v>
      </c>
      <c r="Q25" s="444">
        <f t="shared" ca="1" si="17"/>
        <v>4942.9626861177048</v>
      </c>
    </row>
    <row r="26" spans="1:17">
      <c r="A26" s="444" t="s">
        <v>613</v>
      </c>
      <c r="B26" s="445">
        <f t="shared" ca="1" si="2"/>
        <v>669.50483623637115</v>
      </c>
      <c r="C26" s="445">
        <f t="shared" ca="1" si="3"/>
        <v>0</v>
      </c>
      <c r="D26" s="445">
        <f t="shared" si="4"/>
        <v>526.7158653224501</v>
      </c>
      <c r="E26" s="445">
        <f t="shared" si="5"/>
        <v>8.9992644916348219</v>
      </c>
      <c r="F26" s="445">
        <f t="shared" si="6"/>
        <v>354.54012905064013</v>
      </c>
      <c r="G26" s="445">
        <f t="shared" si="7"/>
        <v>0</v>
      </c>
      <c r="H26" s="445">
        <f t="shared" si="8"/>
        <v>0</v>
      </c>
      <c r="I26" s="445">
        <f t="shared" si="9"/>
        <v>0</v>
      </c>
      <c r="J26" s="445">
        <f t="shared" si="10"/>
        <v>3.9668884825404671</v>
      </c>
      <c r="K26" s="445">
        <f t="shared" si="11"/>
        <v>0</v>
      </c>
      <c r="L26" s="445">
        <f t="shared" si="12"/>
        <v>0</v>
      </c>
      <c r="M26" s="445">
        <f t="shared" si="13"/>
        <v>0</v>
      </c>
      <c r="N26" s="445">
        <f t="shared" si="14"/>
        <v>0</v>
      </c>
      <c r="O26" s="445">
        <f t="shared" si="15"/>
        <v>0</v>
      </c>
      <c r="P26" s="446">
        <f t="shared" si="16"/>
        <v>0</v>
      </c>
      <c r="Q26" s="444">
        <f t="shared" ca="1" si="17"/>
        <v>1563.7269835836369</v>
      </c>
    </row>
    <row r="27" spans="1:17" s="450" customFormat="1">
      <c r="A27" s="448" t="s">
        <v>555</v>
      </c>
      <c r="B27" s="719">
        <f t="shared" ca="1" si="2"/>
        <v>0.30814636227130671</v>
      </c>
      <c r="C27" s="449">
        <f t="shared" ca="1" si="3"/>
        <v>0</v>
      </c>
      <c r="D27" s="449">
        <f t="shared" si="4"/>
        <v>0.9987406759724009</v>
      </c>
      <c r="E27" s="449">
        <f t="shared" si="5"/>
        <v>125.38318854045953</v>
      </c>
      <c r="F27" s="449">
        <f t="shared" si="6"/>
        <v>0</v>
      </c>
      <c r="G27" s="449">
        <f t="shared" si="7"/>
        <v>35249.432475165355</v>
      </c>
      <c r="H27" s="449">
        <f t="shared" si="8"/>
        <v>4310.2757882689575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39686.398339013016</v>
      </c>
    </row>
    <row r="28" spans="1:17">
      <c r="A28" s="444" t="s">
        <v>545</v>
      </c>
      <c r="B28" s="445">
        <f t="shared" ca="1" si="2"/>
        <v>1.5391463177652023</v>
      </c>
      <c r="C28" s="445">
        <f t="shared" ca="1" si="3"/>
        <v>0</v>
      </c>
      <c r="D28" s="445">
        <f t="shared" si="4"/>
        <v>0</v>
      </c>
      <c r="E28" s="445">
        <f t="shared" si="5"/>
        <v>0</v>
      </c>
      <c r="F28" s="445">
        <f t="shared" si="6"/>
        <v>0</v>
      </c>
      <c r="G28" s="445">
        <f t="shared" si="7"/>
        <v>418.94072260796446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420.47986892572965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432.84203459282151</v>
      </c>
      <c r="C32" s="445">
        <f t="shared" ca="1" si="3"/>
        <v>0</v>
      </c>
      <c r="D32" s="445">
        <f t="shared" si="4"/>
        <v>833.23882805354879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1266.0808626463704</v>
      </c>
    </row>
    <row r="33" spans="1:17" s="457" customFormat="1">
      <c r="A33" s="454" t="s">
        <v>549</v>
      </c>
      <c r="B33" s="455">
        <f ca="1">SUM(B22:B32)</f>
        <v>11918.642195200733</v>
      </c>
      <c r="C33" s="455">
        <f t="shared" ref="C33:Q33" ca="1" si="19">SUM(C22:C32)</f>
        <v>2386.3159663865549</v>
      </c>
      <c r="D33" s="455">
        <f t="shared" ca="1" si="19"/>
        <v>19692.26154720888</v>
      </c>
      <c r="E33" s="455">
        <f t="shared" si="19"/>
        <v>482.2598405561094</v>
      </c>
      <c r="F33" s="455">
        <f t="shared" ca="1" si="19"/>
        <v>13775.555809014419</v>
      </c>
      <c r="G33" s="455">
        <f t="shared" si="19"/>
        <v>35668.373197773319</v>
      </c>
      <c r="H33" s="455">
        <f t="shared" si="19"/>
        <v>4310.2757882689575</v>
      </c>
      <c r="I33" s="455">
        <f t="shared" si="19"/>
        <v>0</v>
      </c>
      <c r="J33" s="455">
        <f t="shared" si="19"/>
        <v>390.63774912584375</v>
      </c>
      <c r="K33" s="455">
        <f t="shared" si="19"/>
        <v>0</v>
      </c>
      <c r="L33" s="455">
        <f t="shared" ca="1" si="19"/>
        <v>0</v>
      </c>
      <c r="M33" s="455">
        <f t="shared" si="19"/>
        <v>0</v>
      </c>
      <c r="N33" s="455">
        <f t="shared" ca="1" si="19"/>
        <v>0</v>
      </c>
      <c r="O33" s="455">
        <f t="shared" si="19"/>
        <v>0</v>
      </c>
      <c r="P33" s="455">
        <f t="shared" si="19"/>
        <v>0</v>
      </c>
      <c r="Q33" s="455">
        <f t="shared" ca="1" si="19"/>
        <v>88624.322093534807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2606.7747678874166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7029</v>
      </c>
      <c r="D8" s="963">
        <f>'SEAP template'!D76</f>
        <v>8269.4117647058829</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1670.4211764705885</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2606.7747678874166</v>
      </c>
      <c r="C10" s="967">
        <f>SUM(C4:C9)</f>
        <v>7029</v>
      </c>
      <c r="D10" s="967">
        <f t="shared" ref="D10:H10" si="0">SUM(D8:D9)</f>
        <v>8269.4117647058829</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1670.4211764705885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0.21280319670556547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10041.428571428572</v>
      </c>
      <c r="D17" s="964">
        <f>'SEAP template'!D87</f>
        <v>11813.445378151262</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2386.3159663865549</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10041.428571428572</v>
      </c>
      <c r="D20" s="967">
        <f t="shared" ref="D20:H20" si="2">SUM(D17:D19)</f>
        <v>11813.445378151262</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2386.3159663865549</v>
      </c>
    </row>
    <row r="22" spans="1:16">
      <c r="A22" s="458" t="s">
        <v>885</v>
      </c>
      <c r="B22" s="725" t="s">
        <v>879</v>
      </c>
      <c r="C22" s="725">
        <f ca="1">'EF ele_warmte'!B22</f>
        <v>0.23764705882352941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0.21280319670556547</v>
      </c>
      <c r="C17" s="494">
        <f ca="1">'EF ele_warmte'!B22</f>
        <v>0.23764705882352941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2022-07-26T13:04:32Z</dcterms:modified>
</cp:coreProperties>
</file>