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6541EEFF-3060-4002-A434-FB9AD6A73ED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<sst xmlns="http://schemas.openxmlformats.org/spreadsheetml/2006/main" count="2518" uniqueCount="965">
  <si>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</si>
  <si>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</si>
  <si>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</si>
  <si>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</si>
  <si>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</si>
  <si>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</si>
  <si>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</si>
  <si>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</si>
  <si>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</si>
  <si>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</si>
  <si>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</si>
  <si>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</si>
  <si>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</si>
  <si>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</si>
  <si>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</si>
  <si>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</si>
  <si>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</si>
  <si>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</si>
  <si>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</si>
  <si>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</si>
  <si>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</si>
  <si>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</si>
  <si>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</si>
  <si>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</si>
  <si>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</si>
  <si>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</si>
  <si>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</si>
  <si>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</si>
  <si>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</si>
  <si>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</si>
  <si>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</si>
  <si>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</si>
  <si>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</si>
  <si>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</si>
  <si>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</si>
  <si>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</si>
  <si>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</si>
  <si>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</si>
  <si>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</si>
  <si>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</si>
  <si>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</si>
  <si>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</si>
  <si>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</si>
  <si>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</si>
  <si>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</si>
  <si>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</si>
  <si>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</si>
  <si>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</si>
  <si>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</si>
  <si>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</si>
  <si>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</si>
  <si>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</si>
  <si>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</si>
  <si>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</si>
  <si>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</si>
  <si>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</si>
  <si>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</si>
  <si>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</si>
  <si>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</si>
  <si>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</si>
  <si>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</si>
  <si>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</si>
  <si>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</si>
  <si>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</si>
  <si>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</si>
  <si>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</si>
  <si>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</si>
  <si>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</si>
  <si>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</si>
  <si>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</si>
  <si>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</si>
  <si>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</si>
  <si>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</si>
  <si>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</si>
  <si>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</si>
  <si>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</si>
  <si>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</si>
  <si>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</si>
  <si>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</si>
  <si>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</si>
  <si>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</si>
  <si>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</si>
  <si>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</si>
  <si>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</si>
  <si>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</si>
  <si>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</si>
  <si>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</si>
  <si>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</si>
  <si>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</si>
  <si>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</si>
  <si>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</si>
  <si>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</si>
  <si>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</si>
  <si>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</si>
  <si>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</si>
  <si>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</si>
  <si>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</si>
  <si>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</si>
  <si>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</si>
  <si>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</si>
  <si>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</si>
  <si>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</si>
  <si>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</si>
  <si>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</si>
  <si>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</si>
  <si>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</si>
  <si>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</si>
  <si>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</si>
  <si>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</si>
  <si>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</si>
  <si>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</si>
  <si>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</si>
  <si>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</si>
  <si>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</si>
  <si>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</si>
  <si>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</si>
  <si>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</si>
  <si>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</si>
  <si>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</si>
  <si>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</si>
  <si>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</si>
  <si>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</si>
  <si>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</si>
  <si>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</si>
  <si>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</si>
  <si>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</si>
  <si>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</si>
  <si>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</si>
  <si>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</si>
  <si>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</si>
  <si>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</si>
  <si>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</si>
  <si>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</si>
  <si>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</si>
  <si>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</si>
  <si>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</si>
  <si>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</si>
  <si>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</si>
  <si>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</si>
  <si>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</si>
  <si>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</si>
  <si>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</si>
  <si>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</si>
  <si>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</si>
  <si>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</si>
  <si>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</si>
  <si>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</si>
  <si>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</si>
  <si>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</si>
  <si>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</si>
  <si>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</si>
  <si>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</si>
  <si>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</si>
  <si>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</si>
  <si>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</si>
  <si>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</si>
  <si>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</si>
  <si>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</si>
  <si>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</si>
  <si>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</si>
  <si>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</si>
  <si>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</si>
  <si>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</si>
  <si>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</si>
  <si>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</si>
  <si>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</si>
  <si>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</si>
  <si>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</si>
  <si>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</si>
  <si>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</si>
  <si>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</si>
  <si>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</si>
  <si>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</si>
  <si>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</si>
  <si>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</si>
  <si>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</si>
  <si>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</si>
  <si>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</si>
  <si>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</si>
  <si>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</si>
  <si>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</si>
  <si>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</si>
  <si>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</si>
  <si>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</si>
  <si>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</si>
  <si>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</si>
  <si>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</si>
  <si>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</si>
  <si>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</si>
  <si>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</si>
  <si>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</si>
  <si>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</si>
  <si>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</si>
  <si>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</si>
  <si>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</si>
  <si>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</si>
  <si>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</si>
  <si>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</si>
  <si>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</si>
  <si>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</si>
  <si>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</si>
  <si>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</si>
  <si>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</si>
  <si>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</si>
  <si>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</si>
  <si>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</si>
  <si>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</si>
  <si>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</si>
  <si>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</si>
  <si>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</si>
  <si>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</si>
  <si>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</si>
  <si>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</si>
  <si>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</si>
  <si>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</si>
  <si>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</si>
  <si>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</si>
  <si>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</si>
  <si>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</si>
  <si>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</si>
  <si>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</si>
  <si>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</si>
  <si>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</si>
  <si>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</si>
  <si>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</si>
  <si>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</si>
  <si>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</si>
  <si>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</si>
  <si>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</si>
  <si>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</si>
  <si>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</si>
  <si>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</si>
  <si>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</si>
  <si>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</si>
  <si>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</si>
  <si>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</si>
  <si>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</si>
  <si>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</si>
  <si>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</si>
  <si>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</si>
  <si>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</si>
  <si>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</si>
  <si>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</si>
  <si>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</si>
  <si>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</si>
  <si>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</si>
  <si>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</si>
  <si>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</si>
  <si>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</si>
  <si>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</si>
  <si>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</si>
  <si>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</si>
  <si>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</si>
  <si>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</si>
  <si>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</si>
  <si>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</si>
  <si>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</si>
  <si>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</si>
  <si>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</si>
  <si>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</si>
  <si>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</si>
  <si>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</si>
  <si>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</si>
  <si>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</si>
  <si>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</si>
  <si>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</si>
  <si>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</si>
  <si>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</si>
  <si>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</si>
  <si>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</si>
  <si>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</si>
  <si>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</si>
  <si>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</si>
  <si>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</si>
  <si>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</si>
  <si>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</si>
  <si>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</si>
  <si>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</si>
  <si>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</si>
  <si>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</si>
  <si>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</si>
  <si>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</si>
  <si>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</si>
  <si>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</si>
  <si>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</si>
  <si>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</si>
  <si>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</si>
  <si>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</si>
  <si>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</si>
  <si>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</si>
  <si>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</si>
  <si>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</si>
  <si>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</si>
  <si>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</si>
  <si>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</si>
  <si>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</si>
  <si>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</si>
  <si>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</si>
  <si>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</si>
  <si>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</si>
  <si>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</si>
  <si>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</si>
  <si>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</si>
  <si>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</si>
  <si>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</si>
  <si>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</si>
  <si>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</si>
  <si>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</si>
  <si>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</si>
  <si>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</si>
  <si>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</si>
  <si>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</si>
  <si>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</si>
  <si>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</si>
  <si>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</si>
  <si>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</si>
  <si>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</si>
  <si>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</si>
  <si>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</si>
  <si>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</si>
  <si>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</si>
  <si>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</si>
  <si>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</si>
  <si>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</si>
  <si>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</si>
  <si>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</si>
  <si>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</si>
  <si>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</si>
  <si>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</si>
  <si>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</si>
  <si>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</si>
  <si>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</si>
  <si>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</si>
  <si>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</si>
  <si>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</si>
  <si>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</si>
  <si>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</si>
  <si>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</si>
  <si>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</si>
  <si>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</si>
  <si>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</si>
  <si>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</si>
  <si>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</si>
  <si>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</si>
  <si>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</si>
  <si>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</si>
  <si>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</si>
  <si>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</si>
  <si>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</si>
  <si>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</si>
  <si>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</si>
  <si>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</si>
  <si>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</si>
  <si>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</si>
  <si>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</si>
  <si>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</si>
  <si>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</si>
  <si>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</si>
  <si>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</si>
  <si>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</si>
  <si>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</si>
  <si>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</si>
  <si>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</si>
  <si>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</si>
  <si>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</si>
  <si>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</si>
  <si>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</si>
  <si>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</si>
  <si>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</si>
  <si>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</si>
  <si>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</si>
  <si>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</si>
  <si>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</si>
  <si>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</si>
  <si>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</si>
  <si>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</si>
  <si>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</si>
  <si>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</si>
  <si>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</si>
  <si>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</si>
  <si>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</si>
  <si>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</si>
  <si>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</si>
  <si>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</si>
  <si>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</si>
  <si>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</si>
  <si>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</si>
  <si>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</si>
  <si>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</si>
  <si>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</si>
  <si>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</si>
  <si>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</si>
  <si>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</si>
  <si>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</si>
  <si>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</si>
  <si>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</si>
  <si>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</si>
  <si>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</si>
  <si>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</si>
  <si>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</si>
  <si>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</si>
  <si>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</si>
  <si>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</si>
  <si>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</si>
  <si>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</si>
  <si>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</si>
  <si>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</si>
  <si>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</si>
  <si>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</si>
  <si>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</si>
  <si>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</si>
  <si>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</si>
  <si>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</si>
  <si>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</si>
  <si>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</si>
  <si>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</si>
  <si>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</si>
  <si>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</si>
  <si>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</si>
  <si>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</si>
  <si>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</si>
  <si>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</si>
  <si>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</si>
  <si>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</si>
  <si>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</si>
  <si>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</si>
  <si>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</si>
  <si>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</si>
  <si>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</si>
  <si>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</si>
  <si>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</si>
  <si>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</si>
  <si>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</si>
  <si>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</si>
  <si>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</si>
  <si>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</si>
  <si>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</si>
  <si>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</si>
  <si>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</si>
  <si>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</si>
  <si>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</si>
  <si>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</si>
  <si>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</si>
  <si>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</si>
  <si>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</si>
  <si>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</si>
  <si>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</si>
  <si>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</si>
  <si>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</si>
  <si>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</si>
  <si>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</si>
  <si>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</si>
  <si>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</si>
  <si>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</si>
  <si>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</si>
  <si>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</si>
  <si>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</si>
  <si>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</si>
  <si>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</si>
  <si>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</si>
  <si>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</si>
  <si>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</si>
  <si>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</si>
  <si>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</si>
  <si>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</si>
  <si>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</si>
  <si>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</si>
  <si>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</si>
  <si>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</si>
  <si>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</si>
  <si>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</si>
  <si>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</si>
  <si>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</si>
  <si>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</si>
  <si>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</si>
  <si>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</si>
  <si>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</si>
  <si>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</si>
  <si>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</si>
  <si>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</si>
  <si>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</si>
  <si>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</si>
  <si>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</si>
  <si>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</si>
  <si>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</si>
  <si>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</si>
  <si>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</si>
  <si>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</si>
  <si>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</si>
  <si>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</si>
  <si>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</si>
  <si>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</si>
  <si>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</si>
  <si>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</si>
  <si>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</si>
  <si>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</si>
  <si>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</si>
  <si>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</si>
  <si>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</si>
  <si>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</si>
  <si>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</si>
  <si>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</si>
  <si>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</si>
  <si>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</si>
  <si>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</si>
  <si>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</si>
  <si>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</si>
  <si>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</si>
  <si>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</si>
  <si>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</si>
  <si>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</si>
  <si>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</si>
  <si>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</si>
  <si>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</si>
  <si>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</si>
  <si>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</si>
  <si>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</si>
  <si>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</si>
  <si>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</si>
  <si>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</si>
  <si>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</si>
  <si>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</si>
  <si>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</si>
  <si>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</si>
  <si>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</si>
  <si>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</si>
  <si>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</si>
  <si>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</si>
  <si>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</si>
  <si>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</si>
  <si>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</si>
  <si>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</si>
  <si>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</si>
  <si>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</si>
  <si>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</si>
  <si>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</si>
  <si>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</si>
  <si>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</si>
  <si>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</si>
  <si>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</si>
  <si>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</si>
  <si>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</si>
  <si>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</si>
  <si>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</si>
  <si>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</si>
  <si>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</si>
  <si>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</si>
  <si>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</si>
  <si>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</si>
  <si>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</si>
  <si>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</si>
  <si>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</si>
  <si>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</si>
  <si>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</si>
  <si>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</si>
  <si>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</si>
  <si>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</si>
  <si>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</si>
  <si>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</si>
  <si>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</si>
  <si>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</si>
  <si>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</si>
  <si>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</si>
  <si>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</si>
  <si>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</si>
  <si>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</si>
  <si>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</si>
  <si>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</si>
  <si>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</si>
  <si>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</si>
  <si>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</si>
  <si>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</si>
  <si>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</si>
  <si>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</si>
  <si>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</si>
  <si>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</si>
  <si>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</si>
  <si>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</si>
  <si>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</si>
  <si>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</si>
  <si>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</si>
  <si>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</si>
  <si>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</si>
  <si>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</si>
  <si>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</si>
  <si>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</si>
  <si>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</si>
  <si>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</si>
  <si>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</si>
  <si>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</si>
  <si>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</si>
  <si>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</si>
  <si>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</si>
  <si>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</si>
  <si>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</si>
  <si>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</si>
  <si>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</si>
  <si>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</si>
  <si>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</si>
  <si>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</si>
  <si>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</si>
  <si>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</si>
  <si>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</si>
  <si>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</si>
  <si>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</si>
  <si>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</si>
  <si>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</si>
  <si>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</si>
  <si>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</si>
  <si>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</si>
  <si>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</si>
  <si>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</si>
  <si>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</si>
  <si>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</si>
  <si>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</si>
  <si>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</si>
  <si>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</si>
  <si>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</si>
  <si>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</si>
  <si>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</si>
  <si>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</si>
  <si>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</si>
  <si>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</si>
  <si>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</si>
  <si>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</si>
  <si>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</si>
  <si>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</si>
  <si>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</si>
  <si>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</si>
  <si>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</si>
  <si>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</si>
  <si>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</si>
  <si>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</si>
  <si>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</si>
  <si>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</si>
  <si>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</si>
  <si>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</si>
  <si>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</si>
  <si>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</si>
  <si>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</si>
  <si>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</si>
  <si>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</si>
  <si>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</si>
  <si>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</si>
  <si>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</si>
  <si>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</si>
  <si>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</si>
  <si>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</si>
  <si>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</si>
  <si>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</si>
  <si>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</si>
  <si>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</si>
  <si>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</si>
  <si>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</si>
  <si>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</si>
  <si>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</si>
  <si>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</si>
  <si>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</si>
  <si>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</si>
  <si>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</si>
  <si>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</si>
  <si>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</si>
  <si>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</si>
  <si>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</si>
  <si>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</si>
  <si>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</si>
  <si>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</si>
  <si>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</si>
  <si>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</si>
  <si>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</si>
  <si>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</si>
  <si>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</si>
  <si>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</si>
  <si>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</si>
  <si>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</si>
  <si>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</si>
  <si>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</si>
  <si>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</si>
  <si>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</si>
  <si>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</si>
  <si>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</si>
  <si>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</si>
  <si>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</si>
  <si>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</si>
  <si>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</si>
  <si>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</si>
  <si>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</si>
  <si>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</si>
  <si>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</si>
  <si>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</si>
  <si>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</si>
  <si>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</si>
  <si>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</si>
  <si>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</si>
  <si>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</si>
  <si>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</si>
  <si>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</si>
  <si>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</si>
  <si>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</si>
  <si>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</si>
  <si>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</si>
  <si>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</si>
  <si>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</si>
  <si>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</si>
  <si>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</si>
  <si>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</si>
  <si>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</si>
  <si>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</si>
  <si>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</si>
  <si>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</si>
  <si>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</si>
  <si>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</si>
  <si>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</si>
  <si>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</si>
  <si>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</si>
  <si>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</si>
  <si>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</si>
  <si>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</si>
  <si>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</si>
  <si>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</si>
  <si>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</si>
  <si>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</si>
  <si>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</si>
  <si>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</si>
  <si>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</si>
  <si>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</si>
  <si>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</si>
  <si>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</si>
  <si>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</si>
  <si>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</si>
  <si>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</si>
  <si>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</si>
  <si>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</si>
  <si>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</si>
  <si>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</si>
  <si>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</si>
  <si>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</si>
  <si>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</si>
  <si>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</si>
  <si>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</si>
  <si>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</si>
  <si>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</si>
  <si>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</si>
  <si>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</si>
  <si>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</si>
  <si>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</si>
  <si>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</si>
  <si>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</si>
  <si>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</si>
  <si>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</si>
  <si>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</si>
  <si>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</si>
  <si>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</si>
  <si>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</si>
  <si>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</si>
  <si>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</si>
  <si>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</si>
  <si>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</si>
  <si>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</si>
  <si>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</si>
  <si>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</si>
  <si>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</si>
  <si>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</si>
  <si>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</si>
  <si>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</si>
  <si>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</si>
  <si>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</si>
  <si>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</si>
  <si>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</si>
  <si>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</si>
  <si>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</si>
  <si>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</si>
  <si>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</si>
  <si>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</si>
  <si>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</si>
  <si>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</si>
  <si>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</si>
  <si>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</si>
  <si>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</si>
  <si>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</si>
  <si>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</si>
  <si>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</si>
  <si>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</si>
  <si>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</si>
  <si>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</si>
  <si>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</si>
  <si>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</si>
  <si>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</si>
  <si>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</si>
  <si>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</si>
  <si>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</si>
  <si>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</si>
  <si>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</si>
  <si>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</si>
  <si>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</si>
  <si>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</si>
  <si>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</si>
  <si>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</si>
  <si>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</si>
  <si>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</si>
  <si>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</si>
  <si>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</si>
  <si>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</si>
  <si>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</si>
  <si>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</si>
  <si>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</si>
  <si>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</si>
  <si>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</si>
  <si>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</si>
  <si>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</si>
  <si>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</si>
  <si>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</si>
  <si>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</si>
  <si>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</si>
  <si>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</si>
  <si>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</si>
  <si>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</si>
  <si>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</si>
  <si>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</si>
  <si>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</si>
  <si>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</si>
  <si>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</si>
  <si>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</si>
  <si>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</si>
  <si>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</si>
  <si>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</si>
  <si>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</si>
  <si>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</si>
  <si>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</si>
  <si>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</si>
  <si>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</si>
  <si>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</si>
  <si>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</si>
  <si>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</si>
  <si>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</si>
  <si>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</si>
  <si>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</si>
  <si>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</si>
  <si>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</si>
  <si>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</si>
  <si>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</si>
  <si>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</si>
  <si>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</si>
  <si>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</si>
  <si>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</si>
  <si>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</si>
  <si>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</si>
  <si>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</si>
  <si>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</si>
  <si>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</si>
  <si>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</si>
  <si>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</si>
  <si>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</si>
  <si>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</si>
  <si>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</si>
  <si>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</si>
  <si>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</si>
  <si>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</si>
  <si>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</si>
  <si>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</si>
  <si>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</si>
  <si>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</si>
  <si>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</si>
  <si>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</si>
  <si>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</si>
  <si>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</si>
  <si>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</si>
  <si>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</si>
  <si>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</si>
  <si>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</si>
  <si>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</si>
  <si>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</si>
  <si>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</si>
  <si>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</si>
  <si>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</si>
  <si>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</si>
  <si>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</si>
  <si>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</si>
  <si>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</si>
  <si>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</si>
  <si>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</si>
  <si>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</si>
  <si>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</si>
  <si>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</si>
  <si>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</si>
  <si>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</si>
  <si>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</si>
  <si>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</si>
  <si>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</si>
  <si>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</si>
  <si>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</si>
  <si>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</si>
  <si>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</si>
  <si>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</si>
  <si>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</si>
  <si>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</si>
  <si>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</si>
  <si>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</si>
  <si>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</si>
  <si>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</si>
  <si>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</si>
  <si>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</si>
  <si>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</si>
  <si>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</si>
  <si>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</si>
  <si>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</si>
  <si>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</si>
  <si>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</si>
  <si>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</si>
  <si>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</si>
  <si>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</si>
  <si>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</si>
  <si>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</si>
  <si>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</si>
  <si>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</si>
  <si>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</si>
  <si>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</si>
  <si>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</si>
  <si>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</si>
  <si>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</si>
  <si>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</si>
  <si>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</si>
  <si>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</si>
  <si>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</si>
  <si>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</si>
  <si>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</si>
  <si>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</si>
  <si>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</si>
  <si>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</si>
  <si>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</si>
  <si>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</si>
  <si>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</si>
  <si>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</si>
  <si>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</si>
  <si>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</si>
  <si>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</si>
  <si>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</si>
  <si>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</si>
  <si>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</si>
  <si>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</si>
  <si>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</si>
  <si>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</si>
  <si>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</si>
  <si>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</si>
  <si>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</si>
  <si>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</si>
  <si>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</si>
  <si>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</si>
  <si>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</si>
  <si>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</si>
  <si>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</si>
  <si>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</si>
  <si>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</si>
  <si>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</si>
  <si>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</si>
  <si>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</si>
  <si>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</si>
  <si>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46013</t>
  </si>
  <si>
    <t>KRUIBEKE</t>
  </si>
  <si>
    <t>Paarden&amp;pony's 200 - 600 kg</t>
  </si>
  <si>
    <t>Paarden&amp;pony's &lt; 200 kg</t>
  </si>
  <si>
    <t>vloeibaar gas (MWh)</t>
  </si>
  <si>
    <t>interne verbrandingsmotor</t>
  </si>
  <si>
    <t>WKK interne verbrandinsgmotor (vloeibaar)</t>
  </si>
  <si>
    <t>eilandwerking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</si>
</sst>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400A8E5A-52A7-45E8-8E2F-F4CEBC2CE9E4}"/>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46013</v>
      </c>
      <c r="B6" s="382"/>
      <c r="C6" s="383"/>
    </row>
    <row r="7" spans="1:7" s="380" customFormat="1" ht="15.75" customHeight="1">
      <c r="A7" s="384" t="str">
        <f>txtMunicipality</f>
        <v>KRUIBEKE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0.17164745348091676</v>
      </c>
      <c r="C17" s="494">
        <f ca="1">'EF ele_warmte'!B22</f>
        <v>7.8529411764705875E-2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0.17164745348091676</v>
      </c>
      <c r="C29" s="495">
        <f ca="1">'EF ele_warmte'!B22</f>
        <v>7.8529411764705875E-2</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6497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1748</v>
      </c>
      <c r="C14" s="324"/>
      <c r="D14" s="324"/>
      <c r="E14" s="324"/>
      <c r="F14" s="324"/>
    </row>
    <row r="15" spans="1:6">
      <c r="A15" s="1235" t="s">
        <v>177</v>
      </c>
      <c r="B15" s="1236">
        <v>31</v>
      </c>
      <c r="C15" s="324"/>
      <c r="D15" s="324"/>
      <c r="E15" s="324"/>
      <c r="F15" s="324"/>
    </row>
    <row r="16" spans="1:6">
      <c r="A16" s="1235" t="s">
        <v>6</v>
      </c>
      <c r="B16" s="1236">
        <v>958</v>
      </c>
      <c r="C16" s="324"/>
      <c r="D16" s="324"/>
      <c r="E16" s="324"/>
      <c r="F16" s="324"/>
    </row>
    <row r="17" spans="1:6">
      <c r="A17" s="1235" t="s">
        <v>7</v>
      </c>
      <c r="B17" s="1236">
        <v>586</v>
      </c>
      <c r="C17" s="324"/>
      <c r="D17" s="324"/>
      <c r="E17" s="324"/>
      <c r="F17" s="324"/>
    </row>
    <row r="18" spans="1:6">
      <c r="A18" s="1235" t="s">
        <v>8</v>
      </c>
      <c r="B18" s="1236">
        <v>920</v>
      </c>
      <c r="C18" s="324"/>
      <c r="D18" s="324"/>
      <c r="E18" s="324"/>
      <c r="F18" s="324"/>
    </row>
    <row r="19" spans="1:6">
      <c r="A19" s="1235" t="s">
        <v>9</v>
      </c>
      <c r="B19" s="1236">
        <v>797</v>
      </c>
      <c r="C19" s="324"/>
      <c r="D19" s="324"/>
      <c r="E19" s="324"/>
      <c r="F19" s="324"/>
    </row>
    <row r="20" spans="1:6">
      <c r="A20" s="1235" t="s">
        <v>10</v>
      </c>
      <c r="B20" s="1236">
        <v>554</v>
      </c>
      <c r="C20" s="324"/>
      <c r="D20" s="324"/>
      <c r="E20" s="324"/>
      <c r="F20" s="324"/>
    </row>
    <row r="21" spans="1:6">
      <c r="A21" s="1235" t="s">
        <v>11</v>
      </c>
      <c r="B21" s="1236">
        <v>6691</v>
      </c>
      <c r="C21" s="324"/>
      <c r="D21" s="324"/>
      <c r="E21" s="324"/>
      <c r="F21" s="324"/>
    </row>
    <row r="22" spans="1:6">
      <c r="A22" s="1235" t="s">
        <v>12</v>
      </c>
      <c r="B22" s="1236">
        <v>22907</v>
      </c>
      <c r="C22" s="324"/>
      <c r="D22" s="324"/>
      <c r="E22" s="324"/>
      <c r="F22" s="324"/>
    </row>
    <row r="23" spans="1:6">
      <c r="A23" s="1235" t="s">
        <v>13</v>
      </c>
      <c r="B23" s="1236">
        <v>376</v>
      </c>
      <c r="C23" s="324"/>
      <c r="D23" s="324"/>
      <c r="E23" s="324"/>
      <c r="F23" s="324"/>
    </row>
    <row r="24" spans="1:6">
      <c r="A24" s="1235" t="s">
        <v>14</v>
      </c>
      <c r="B24" s="1236">
        <v>37</v>
      </c>
      <c r="C24" s="324"/>
      <c r="D24" s="324"/>
      <c r="E24" s="324"/>
      <c r="F24" s="324"/>
    </row>
    <row r="25" spans="1:6">
      <c r="A25" s="1235" t="s">
        <v>15</v>
      </c>
      <c r="B25" s="1236">
        <v>1933</v>
      </c>
      <c r="C25" s="324"/>
      <c r="D25" s="324"/>
      <c r="E25" s="324"/>
      <c r="F25" s="324"/>
    </row>
    <row r="26" spans="1:6">
      <c r="A26" s="1235" t="s">
        <v>16</v>
      </c>
      <c r="B26" s="1236">
        <v>142</v>
      </c>
      <c r="C26" s="324"/>
      <c r="D26" s="324"/>
      <c r="E26" s="324"/>
      <c r="F26" s="324"/>
    </row>
    <row r="27" spans="1:6">
      <c r="A27" s="1235" t="s">
        <v>17</v>
      </c>
      <c r="B27" s="1236">
        <v>2</v>
      </c>
      <c r="C27" s="324"/>
      <c r="D27" s="324"/>
      <c r="E27" s="324"/>
      <c r="F27" s="324"/>
    </row>
    <row r="28" spans="1:6">
      <c r="A28" s="1235" t="s">
        <v>18</v>
      </c>
      <c r="B28" s="1237">
        <v>3159</v>
      </c>
      <c r="C28" s="324"/>
      <c r="D28" s="324"/>
      <c r="E28" s="324"/>
      <c r="F28" s="324"/>
    </row>
    <row r="29" spans="1:6">
      <c r="A29" s="1235" t="s">
        <v>959</v>
      </c>
      <c r="B29" s="1237">
        <v>47</v>
      </c>
      <c r="C29" s="324"/>
      <c r="D29" s="324"/>
      <c r="E29" s="324"/>
      <c r="F29" s="324"/>
    </row>
    <row r="30" spans="1:6">
      <c r="A30" s="1230" t="s">
        <v>960</v>
      </c>
      <c r="B30" s="1238">
        <v>10</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4</v>
      </c>
      <c r="F38" s="1236">
        <v>10507.2224688321</v>
      </c>
    </row>
    <row r="39" spans="1:6">
      <c r="A39" s="1235" t="s">
        <v>29</v>
      </c>
      <c r="B39" s="1235" t="s">
        <v>30</v>
      </c>
      <c r="C39" s="1236">
        <v>5078</v>
      </c>
      <c r="D39" s="1236">
        <v>83652758.188254699</v>
      </c>
      <c r="E39" s="1236">
        <v>6441</v>
      </c>
      <c r="F39" s="1236">
        <v>30236872.490319598</v>
      </c>
    </row>
    <row r="40" spans="1:6">
      <c r="A40" s="1235" t="s">
        <v>29</v>
      </c>
      <c r="B40" s="1235" t="s">
        <v>28</v>
      </c>
      <c r="C40" s="1236">
        <v>0</v>
      </c>
      <c r="D40" s="1236">
        <v>0</v>
      </c>
      <c r="E40" s="1236">
        <v>0</v>
      </c>
      <c r="F40" s="1236">
        <v>0</v>
      </c>
    </row>
    <row r="41" spans="1:6">
      <c r="A41" s="1235" t="s">
        <v>31</v>
      </c>
      <c r="B41" s="1235" t="s">
        <v>32</v>
      </c>
      <c r="C41" s="1236">
        <v>37</v>
      </c>
      <c r="D41" s="1236">
        <v>1232254.1263419299</v>
      </c>
      <c r="E41" s="1236">
        <v>86</v>
      </c>
      <c r="F41" s="1236">
        <v>1285700.60389047</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6</v>
      </c>
      <c r="F44" s="1236">
        <v>518947.61762610701</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3</v>
      </c>
      <c r="F47" s="1236">
        <v>18240.536152587702</v>
      </c>
    </row>
    <row r="48" spans="1:6">
      <c r="A48" s="1235" t="s">
        <v>31</v>
      </c>
      <c r="B48" s="1235" t="s">
        <v>28</v>
      </c>
      <c r="C48" s="1236">
        <v>29</v>
      </c>
      <c r="D48" s="1236">
        <v>3949665.1080643702</v>
      </c>
      <c r="E48" s="1236">
        <v>37</v>
      </c>
      <c r="F48" s="1236">
        <v>1925764.1538861699</v>
      </c>
    </row>
    <row r="49" spans="1:6">
      <c r="A49" s="1235" t="s">
        <v>31</v>
      </c>
      <c r="B49" s="1235" t="s">
        <v>39</v>
      </c>
      <c r="C49" s="1236">
        <v>0</v>
      </c>
      <c r="D49" s="1236">
        <v>0</v>
      </c>
      <c r="E49" s="1236">
        <v>0</v>
      </c>
      <c r="F49" s="1236">
        <v>0</v>
      </c>
    </row>
    <row r="50" spans="1:6">
      <c r="A50" s="1235" t="s">
        <v>31</v>
      </c>
      <c r="B50" s="1235" t="s">
        <v>40</v>
      </c>
      <c r="C50" s="1236">
        <v>9</v>
      </c>
      <c r="D50" s="1236">
        <v>4783568.3708061203</v>
      </c>
      <c r="E50" s="1236">
        <v>13</v>
      </c>
      <c r="F50" s="1236">
        <v>6612710.9090946298</v>
      </c>
    </row>
    <row r="51" spans="1:6">
      <c r="A51" s="1235" t="s">
        <v>41</v>
      </c>
      <c r="B51" s="1235" t="s">
        <v>42</v>
      </c>
      <c r="C51" s="1236">
        <v>11</v>
      </c>
      <c r="D51" s="1236">
        <v>197205.83156902701</v>
      </c>
      <c r="E51" s="1236">
        <v>81</v>
      </c>
      <c r="F51" s="1236">
        <v>2014448.53829218</v>
      </c>
    </row>
    <row r="52" spans="1:6">
      <c r="A52" s="1235" t="s">
        <v>41</v>
      </c>
      <c r="B52" s="1235" t="s">
        <v>28</v>
      </c>
      <c r="C52" s="1236">
        <v>3</v>
      </c>
      <c r="D52" s="1236">
        <v>81901.247659141605</v>
      </c>
      <c r="E52" s="1236">
        <v>6</v>
      </c>
      <c r="F52" s="1236">
        <v>164900.39321848901</v>
      </c>
    </row>
    <row r="53" spans="1:6">
      <c r="A53" s="1235" t="s">
        <v>43</v>
      </c>
      <c r="B53" s="1235" t="s">
        <v>44</v>
      </c>
      <c r="C53" s="1236">
        <v>168</v>
      </c>
      <c r="D53" s="1236">
        <v>2821224.6375808702</v>
      </c>
      <c r="E53" s="1236">
        <v>251</v>
      </c>
      <c r="F53" s="1236">
        <v>1464362.6644248499</v>
      </c>
    </row>
    <row r="54" spans="1:6">
      <c r="A54" s="1235" t="s">
        <v>45</v>
      </c>
      <c r="B54" s="1235" t="s">
        <v>46</v>
      </c>
      <c r="C54" s="1236">
        <v>0</v>
      </c>
      <c r="D54" s="1236">
        <v>0</v>
      </c>
      <c r="E54" s="1236">
        <v>1</v>
      </c>
      <c r="F54" s="1236">
        <v>1121535</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24</v>
      </c>
      <c r="D57" s="1236">
        <v>593903.86452860001</v>
      </c>
      <c r="E57" s="1236">
        <v>43</v>
      </c>
      <c r="F57" s="1236">
        <v>558518.06903447898</v>
      </c>
    </row>
    <row r="58" spans="1:6">
      <c r="A58" s="1235" t="s">
        <v>48</v>
      </c>
      <c r="B58" s="1235" t="s">
        <v>50</v>
      </c>
      <c r="C58" s="1236">
        <v>4</v>
      </c>
      <c r="D58" s="1236">
        <v>83497.970741483499</v>
      </c>
      <c r="E58" s="1236">
        <v>6</v>
      </c>
      <c r="F58" s="1236">
        <v>106833.72263973299</v>
      </c>
    </row>
    <row r="59" spans="1:6">
      <c r="A59" s="1235" t="s">
        <v>48</v>
      </c>
      <c r="B59" s="1235" t="s">
        <v>51</v>
      </c>
      <c r="C59" s="1236">
        <v>67</v>
      </c>
      <c r="D59" s="1236">
        <v>2831203.4352856399</v>
      </c>
      <c r="E59" s="1236">
        <v>149</v>
      </c>
      <c r="F59" s="1236">
        <v>6308870.30125992</v>
      </c>
    </row>
    <row r="60" spans="1:6">
      <c r="A60" s="1235" t="s">
        <v>48</v>
      </c>
      <c r="B60" s="1235" t="s">
        <v>52</v>
      </c>
      <c r="C60" s="1236">
        <v>36</v>
      </c>
      <c r="D60" s="1236">
        <v>2111638.9573764298</v>
      </c>
      <c r="E60" s="1236">
        <v>43</v>
      </c>
      <c r="F60" s="1236">
        <v>1471632.8738635399</v>
      </c>
    </row>
    <row r="61" spans="1:6">
      <c r="A61" s="1235" t="s">
        <v>48</v>
      </c>
      <c r="B61" s="1235" t="s">
        <v>53</v>
      </c>
      <c r="C61" s="1236">
        <v>108</v>
      </c>
      <c r="D61" s="1236">
        <v>6795325.4708571797</v>
      </c>
      <c r="E61" s="1236">
        <v>285</v>
      </c>
      <c r="F61" s="1236">
        <v>3871777.0628820802</v>
      </c>
    </row>
    <row r="62" spans="1:6">
      <c r="A62" s="1235" t="s">
        <v>48</v>
      </c>
      <c r="B62" s="1235" t="s">
        <v>54</v>
      </c>
      <c r="C62" s="1236">
        <v>5</v>
      </c>
      <c r="D62" s="1236">
        <v>1667030.5736392201</v>
      </c>
      <c r="E62" s="1236">
        <v>13</v>
      </c>
      <c r="F62" s="1236">
        <v>368679.09588015999</v>
      </c>
    </row>
    <row r="63" spans="1:6">
      <c r="A63" s="1235" t="s">
        <v>48</v>
      </c>
      <c r="B63" s="1235" t="s">
        <v>28</v>
      </c>
      <c r="C63" s="1236">
        <v>77</v>
      </c>
      <c r="D63" s="1236">
        <v>3678754.1096349098</v>
      </c>
      <c r="E63" s="1236">
        <v>87</v>
      </c>
      <c r="F63" s="1236">
        <v>1571453.22125961</v>
      </c>
    </row>
    <row r="64" spans="1:6">
      <c r="A64" s="1235" t="s">
        <v>55</v>
      </c>
      <c r="B64" s="1235" t="s">
        <v>56</v>
      </c>
      <c r="C64" s="1236">
        <v>0</v>
      </c>
      <c r="D64" s="1236">
        <v>0</v>
      </c>
      <c r="E64" s="1236">
        <v>0</v>
      </c>
      <c r="F64" s="1236">
        <v>0</v>
      </c>
    </row>
    <row r="65" spans="1:6">
      <c r="A65" s="1235" t="s">
        <v>55</v>
      </c>
      <c r="B65" s="1235" t="s">
        <v>28</v>
      </c>
      <c r="C65" s="1236">
        <v>2</v>
      </c>
      <c r="D65" s="1236">
        <v>65600.962791870799</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6</v>
      </c>
      <c r="F68" s="1238">
        <v>123922.839510352</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29656844</v>
      </c>
      <c r="E73" s="443"/>
      <c r="F73" s="324"/>
    </row>
    <row r="74" spans="1:6">
      <c r="A74" s="1235" t="s">
        <v>63</v>
      </c>
      <c r="B74" s="1235" t="s">
        <v>730</v>
      </c>
      <c r="C74" s="1248" t="s">
        <v>731</v>
      </c>
      <c r="D74" s="1236">
        <v>3157501.9924441176</v>
      </c>
      <c r="E74" s="443"/>
      <c r="F74" s="324"/>
    </row>
    <row r="75" spans="1:6">
      <c r="A75" s="1235" t="s">
        <v>64</v>
      </c>
      <c r="B75" s="1235" t="s">
        <v>728</v>
      </c>
      <c r="C75" s="1248" t="s">
        <v>732</v>
      </c>
      <c r="D75" s="1236">
        <v>14335155</v>
      </c>
      <c r="E75" s="443"/>
      <c r="F75" s="324"/>
    </row>
    <row r="76" spans="1:6">
      <c r="A76" s="1235" t="s">
        <v>64</v>
      </c>
      <c r="B76" s="1235" t="s">
        <v>730</v>
      </c>
      <c r="C76" s="1248" t="s">
        <v>733</v>
      </c>
      <c r="D76" s="1236">
        <v>1245273.9924441176</v>
      </c>
      <c r="E76" s="443"/>
      <c r="F76" s="324"/>
    </row>
    <row r="77" spans="1:6">
      <c r="A77" s="1235" t="s">
        <v>65</v>
      </c>
      <c r="B77" s="1235" t="s">
        <v>728</v>
      </c>
      <c r="C77" s="1248" t="s">
        <v>734</v>
      </c>
      <c r="D77" s="1236">
        <v>84092858</v>
      </c>
      <c r="E77" s="443"/>
      <c r="F77" s="324"/>
    </row>
    <row r="78" spans="1:6">
      <c r="A78" s="1230" t="s">
        <v>65</v>
      </c>
      <c r="B78" s="1230" t="s">
        <v>730</v>
      </c>
      <c r="C78" s="1230" t="s">
        <v>735</v>
      </c>
      <c r="D78" s="1238">
        <v>21097852</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429122.01511176466</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9911.2119547937709</v>
      </c>
      <c r="C90" s="324"/>
      <c r="D90" s="324"/>
      <c r="E90" s="324"/>
      <c r="F90" s="324"/>
    </row>
    <row r="91" spans="1:6">
      <c r="A91" s="1235" t="s">
        <v>67</v>
      </c>
      <c r="B91" s="1236">
        <v>1588.5330660292577</v>
      </c>
      <c r="C91" s="324"/>
      <c r="D91" s="324"/>
      <c r="E91" s="324"/>
      <c r="F91" s="324"/>
    </row>
    <row r="92" spans="1:6">
      <c r="A92" s="1230" t="s">
        <v>68</v>
      </c>
      <c r="B92" s="1231">
        <v>639.52350883757038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3655</v>
      </c>
      <c r="C97" s="324"/>
      <c r="D97" s="324"/>
      <c r="E97" s="324"/>
      <c r="F97" s="324"/>
    </row>
    <row r="98" spans="1:6">
      <c r="A98" s="1235" t="s">
        <v>71</v>
      </c>
      <c r="B98" s="1236">
        <v>0</v>
      </c>
      <c r="C98" s="324"/>
      <c r="D98" s="324"/>
      <c r="E98" s="324"/>
      <c r="F98" s="324"/>
    </row>
    <row r="99" spans="1:6">
      <c r="A99" s="1235" t="s">
        <v>72</v>
      </c>
      <c r="B99" s="1236">
        <v>30</v>
      </c>
      <c r="C99" s="324"/>
      <c r="D99" s="324"/>
      <c r="E99" s="324"/>
      <c r="F99" s="324"/>
    </row>
    <row r="100" spans="1:6">
      <c r="A100" s="1235" t="s">
        <v>73</v>
      </c>
      <c r="B100" s="1236">
        <v>641</v>
      </c>
      <c r="C100" s="324"/>
      <c r="D100" s="324"/>
      <c r="E100" s="324"/>
      <c r="F100" s="324"/>
    </row>
    <row r="101" spans="1:6">
      <c r="A101" s="1235" t="s">
        <v>74</v>
      </c>
      <c r="B101" s="1236">
        <v>139</v>
      </c>
      <c r="C101" s="324"/>
      <c r="D101" s="324"/>
      <c r="E101" s="324"/>
      <c r="F101" s="324"/>
    </row>
    <row r="102" spans="1:6">
      <c r="A102" s="1235" t="s">
        <v>75</v>
      </c>
      <c r="B102" s="1236">
        <v>145</v>
      </c>
      <c r="C102" s="324"/>
      <c r="D102" s="324"/>
      <c r="E102" s="324"/>
      <c r="F102" s="324"/>
    </row>
    <row r="103" spans="1:6">
      <c r="A103" s="1235" t="s">
        <v>76</v>
      </c>
      <c r="B103" s="1236">
        <v>202</v>
      </c>
      <c r="C103" s="324"/>
      <c r="D103" s="324"/>
      <c r="E103" s="324"/>
      <c r="F103" s="324"/>
    </row>
    <row r="104" spans="1:6">
      <c r="A104" s="1235" t="s">
        <v>77</v>
      </c>
      <c r="B104" s="1236">
        <v>883</v>
      </c>
      <c r="C104" s="324"/>
      <c r="D104" s="324"/>
      <c r="E104" s="324"/>
      <c r="F104" s="324"/>
    </row>
    <row r="105" spans="1:6">
      <c r="A105" s="1230" t="s">
        <v>78</v>
      </c>
      <c r="B105" s="123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4</v>
      </c>
      <c r="C123" s="1236">
        <v>20</v>
      </c>
      <c r="D123" s="324"/>
      <c r="E123" s="324"/>
      <c r="F123" s="324"/>
    </row>
    <row r="124" spans="1:6">
      <c r="A124" s="1235" t="s">
        <v>88</v>
      </c>
      <c r="B124" s="1236">
        <v>0</v>
      </c>
      <c r="C124" s="1236">
        <v>1</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87</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2</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61218.491765846418</v>
      </c>
      <c r="C3" s="43" t="s">
        <v>163</v>
      </c>
      <c r="D3" s="43"/>
      <c r="E3" s="155"/>
      <c r="F3" s="43"/>
      <c r="G3" s="43"/>
      <c r="H3" s="43"/>
      <c r="I3" s="43"/>
      <c r="J3" s="43"/>
      <c r="K3" s="96"/>
    </row>
    <row r="4" spans="1:11">
      <c r="A4" s="350" t="s">
        <v>164</v>
      </c>
      <c r="B4" s="49">
        <f>IF(ISERROR('SEAP template'!B78+'SEAP template'!C78),0,'SEAP template'!B78+'SEAP template'!C78)</f>
        <v>14515.2685296606</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186.58588235294121</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0.17164745348091676</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209.90911764705882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2673</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7.8529411764705875E-2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1121.5350000000001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1121.5350000000001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0.17164745348091676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192.50862673972</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30236.872490319598</v>
      </c>
      <c r="C5" s="17">
        <f>IF(ISERROR('Eigen informatie GS &amp; warmtenet'!B57),0,'Eigen informatie GS &amp; warmtenet'!B57)</f>
        <v>0</v>
      </c>
      <c r="D5" s="30">
        <f>(SUM(HH_hh_gas_kWh,HH_rest_gas_kWh)/1000)*0.902</f>
        <v>75454.787885805737</v>
      </c>
      <c r="E5" s="17">
        <f>B32*B41</f>
        <v>804.58464980390715</v>
      </c>
      <c r="F5" s="17">
        <f>B36*B45</f>
        <v>27464.010763470727</v>
      </c>
      <c r="G5" s="18"/>
      <c r="H5" s="17"/>
      <c r="I5" s="17"/>
      <c r="J5" s="17">
        <f>B35*B44+C35*C44</f>
        <v>618.4198932388789</v>
      </c>
      <c r="K5" s="17"/>
      <c r="L5" s="17"/>
      <c r="M5" s="17"/>
      <c r="N5" s="17">
        <f>B34*B43+C34*C43</f>
        <v>7471.2933492302718</v>
      </c>
      <c r="O5" s="17">
        <f>B52*B53*B54</f>
        <v>168.84</v>
      </c>
      <c r="P5" s="17">
        <f>B60*B61*B62/1000-B60*B61*B62/1000/B63</f>
        <v>114.4</v>
      </c>
    </row>
    <row r="6" spans="1:16">
      <c r="A6" s="16" t="s">
        <v>591</v>
      </c>
      <c r="B6" s="727">
        <f>kWh_PV_kleiner_dan_10kW</f>
        <v>1588.5330660292577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31825.405556348855</v>
      </c>
      <c r="C8" s="21">
        <f>C5</f>
        <v>0</v>
      </c>
      <c r="D8" s="21">
        <f>D5</f>
        <v>75454.787885805737</v>
      </c>
      <c r="E8" s="21">
        <f>E5</f>
        <v>804.58464980390715</v>
      </c>
      <c r="F8" s="21">
        <f>F5</f>
        <v>27464.010763470727</v>
      </c>
      <c r="G8" s="21"/>
      <c r="H8" s="21"/>
      <c r="I8" s="21"/>
      <c r="J8" s="21">
        <f>J5</f>
        <v>618.4198932388789</v>
      </c>
      <c r="K8" s="21"/>
      <c r="L8" s="21">
        <f>L5</f>
        <v>0</v>
      </c>
      <c r="M8" s="21">
        <f>M5</f>
        <v>0</v>
      </c>
      <c r="N8" s="21">
        <f>N5</f>
        <v>7471.2933492302718</v>
      </c>
      <c r="O8" s="21">
        <f>O5</f>
        <v>168.84</v>
      </c>
      <c r="P8" s="21">
        <f>P5</f>
        <v>114.4</v>
      </c>
    </row>
    <row r="9" spans="1:16">
      <c r="B9" s="19"/>
      <c r="C9" s="19"/>
      <c r="D9" s="255"/>
      <c r="E9" s="19"/>
      <c r="F9" s="19"/>
      <c r="G9" s="19"/>
      <c r="H9" s="19"/>
      <c r="I9" s="19"/>
      <c r="J9" s="19"/>
      <c r="K9" s="19"/>
      <c r="L9" s="19"/>
      <c r="M9" s="19"/>
      <c r="N9" s="19"/>
      <c r="O9" s="19"/>
      <c r="P9" s="19"/>
    </row>
    <row r="10" spans="1:16">
      <c r="A10" s="24" t="s">
        <v>207</v>
      </c>
      <c r="B10" s="25">
        <f ca="1">'EF ele_warmte'!B12</f>
        <v>0.17164745348091676</v>
      </c>
      <c r="C10" s="25">
        <f ca="1">'EF ele_warmte'!B22</f>
        <v>7.8529411764705875E-2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5462.7498197446994</v>
      </c>
      <c r="C12" s="23">
        <f ca="1">C10*C8</f>
        <v>0</v>
      </c>
      <c r="D12" s="23">
        <f>D8*D10</f>
        <v>15241.86715293276</v>
      </c>
      <c r="E12" s="23">
        <f>E10*E8</f>
        <v>182.64071550548692</v>
      </c>
      <c r="F12" s="23">
        <f>F10*F8</f>
        <v>7332.8908738466844</v>
      </c>
      <c r="G12" s="23"/>
      <c r="H12" s="23"/>
      <c r="I12" s="23"/>
      <c r="J12" s="23">
        <f>J10*J8</f>
        <v>218.92064220656312</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6497</v>
      </c>
      <c r="C26" s="36"/>
      <c r="D26" s="225"/>
    </row>
    <row r="27" spans="1:5" s="15" customFormat="1">
      <c r="A27" s="227" t="s">
        <v>671</v>
      </c>
      <c r="B27" s="37">
        <f>SUM(HH_hh_gas_aantal,HH_rest_gas_aantal)</f>
        <v>5078</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4824.1000000000004</v>
      </c>
      <c r="C31" s="34" t="s">
        <v>104</v>
      </c>
      <c r="D31" s="171"/>
    </row>
    <row r="32" spans="1:5">
      <c r="A32" s="168" t="s">
        <v>72</v>
      </c>
      <c r="B32" s="33">
        <f>IF((B21*($B$26-($B$27-0.05*$B$27)-$B$60))&lt;0,0,B21*($B$26-($B$27-0.05*$B$27)-$B$60))</f>
        <v>11.817601984881746</v>
      </c>
      <c r="C32" s="34" t="s">
        <v>104</v>
      </c>
      <c r="D32" s="171"/>
    </row>
    <row r="33" spans="1:6">
      <c r="A33" s="168" t="s">
        <v>73</v>
      </c>
      <c r="B33" s="33">
        <f>IF((B22*($B$26-($B$27-0.05*$B$27)-$B$60))&lt;0,0,B22*($B$26-($B$27-0.05*$B$27)-$B$60))</f>
        <v>338.69086504970613</v>
      </c>
      <c r="C33" s="34" t="s">
        <v>104</v>
      </c>
      <c r="D33" s="171"/>
    </row>
    <row r="34" spans="1:6">
      <c r="A34" s="168" t="s">
        <v>74</v>
      </c>
      <c r="B34" s="33">
        <f>IF((B24*($B$26-($B$27-0.05*$B$27)-$B$60))&lt;0,0,B24*($B$26-($B$27-0.05*$B$27)-$B$60))</f>
        <v>67.538537884050882</v>
      </c>
      <c r="C34" s="33">
        <f>B26*C24</f>
        <v>1328.491062900805</v>
      </c>
      <c r="D34" s="230"/>
    </row>
    <row r="35" spans="1:6">
      <c r="A35" s="168" t="s">
        <v>76</v>
      </c>
      <c r="B35" s="33">
        <f>IF((B19*($B$26-($B$27-0.05*$B$27)-$B$60))&lt;0,0,B19*($B$26-($B$27-0.05*$B$27)-$B$60))</f>
        <v>35.171434478814724</v>
      </c>
      <c r="C35" s="33">
        <f>B35/2</f>
        <v>17.585717239407362</v>
      </c>
      <c r="D35" s="230"/>
    </row>
    <row r="36" spans="1:6">
      <c r="A36" s="168" t="s">
        <v>77</v>
      </c>
      <c r="B36" s="33">
        <f>IF((B18*($B$26-($B$27-0.05*$B$27)-$B$60))&lt;0,0,B18*($B$26-($B$27-0.05*$B$27)-$B$60))</f>
        <v>1213.6815606025461</v>
      </c>
      <c r="C36" s="34" t="s">
        <v>104</v>
      </c>
      <c r="D36" s="171"/>
    </row>
    <row r="37" spans="1:6">
      <c r="A37" s="168" t="s">
        <v>78</v>
      </c>
      <c r="B37" s="33">
        <f>B60</f>
        <v>6</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108</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6</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14257.76434681952</v>
      </c>
      <c r="C5" s="17">
        <f>IF(ISERROR('Eigen informatie GS &amp; warmtenet'!B58),0,'Eigen informatie GS &amp; warmtenet'!B58)</f>
        <v>0</v>
      </c>
      <c r="D5" s="30">
        <f>SUM(D6:D12)</f>
        <v>16020.741652621244</v>
      </c>
      <c r="E5" s="17">
        <f>SUM(E6:E12)</f>
        <v>284.06660428020359</v>
      </c>
      <c r="F5" s="17">
        <f>SUM(F6:F12)</f>
        <v>2714.9697903850401</v>
      </c>
      <c r="G5" s="18"/>
      <c r="H5" s="17"/>
      <c r="I5" s="17"/>
      <c r="J5" s="17">
        <f>SUM(J6:J12)</f>
        <v>0</v>
      </c>
      <c r="K5" s="17"/>
      <c r="L5" s="17"/>
      <c r="M5" s="17"/>
      <c r="N5" s="17">
        <f>SUM(N6:N12)</f>
        <v>227.29392005238941</v>
      </c>
      <c r="O5" s="17">
        <f>B38*B39*B40</f>
        <v>1.5633333333333335</v>
      </c>
      <c r="P5" s="17">
        <f>B46*B47*B48/1000-B46*B47*B48/1000/B49</f>
        <v>0</v>
      </c>
      <c r="R5" s="32"/>
    </row>
    <row r="6" spans="1:18">
      <c r="A6" s="32" t="s">
        <v>53</v>
      </c>
      <c r="B6" s="37">
        <f>B26</f>
        <v>3871.7770628820804</v>
      </c>
      <c r="C6" s="33"/>
      <c r="D6" s="37">
        <f>IF(ISERROR(TER_kantoor_gas_kWh/1000),0,TER_kantoor_gas_kWh/1000)*0.902</f>
        <v>6129.3835747131761</v>
      </c>
      <c r="E6" s="33">
        <f>$C$26*'E Balans VL '!I12/100/3.6*1000000</f>
        <v>133.93255455003541</v>
      </c>
      <c r="F6" s="33">
        <f>$C$26*('E Balans VL '!L12+'E Balans VL '!N12)/100/3.6*1000000</f>
        <v>591.06788095722902</v>
      </c>
      <c r="G6" s="34"/>
      <c r="H6" s="33"/>
      <c r="I6" s="33"/>
      <c r="J6" s="33">
        <f>$C$26*('E Balans VL '!D12+'E Balans VL '!E12)/100/3.6*1000000</f>
        <v>0</v>
      </c>
      <c r="K6" s="33"/>
      <c r="L6" s="33"/>
      <c r="M6" s="33"/>
      <c r="N6" s="33">
        <f>$C$26*'E Balans VL '!Y12/100/3.6*1000000</f>
        <v>59.685283939157131</v>
      </c>
      <c r="O6" s="33"/>
      <c r="P6" s="33"/>
      <c r="R6" s="32"/>
    </row>
    <row r="7" spans="1:18">
      <c r="A7" s="32" t="s">
        <v>52</v>
      </c>
      <c r="B7" s="37">
        <f t="shared" ref="B7:B12" si="0">B27</f>
        <v>1471.63287386354</v>
      </c>
      <c r="C7" s="33"/>
      <c r="D7" s="37">
        <f>IF(ISERROR(TER_horeca_gas_kWh/1000),0,TER_horeca_gas_kWh/1000)*0.902</f>
        <v>1904.6983395535399</v>
      </c>
      <c r="E7" s="33">
        <f>$C$27*'E Balans VL '!I9/100/3.6*1000000</f>
        <v>80.650157797009271</v>
      </c>
      <c r="F7" s="33">
        <f>$C$27*('E Balans VL '!L9+'E Balans VL '!N9)/100/3.6*1000000</f>
        <v>249.04950815574247</v>
      </c>
      <c r="G7" s="34"/>
      <c r="H7" s="33"/>
      <c r="I7" s="33"/>
      <c r="J7" s="33">
        <f>$C$27*('E Balans VL '!D9+'E Balans VL '!E9)/100/3.6*1000000</f>
        <v>0</v>
      </c>
      <c r="K7" s="33"/>
      <c r="L7" s="33"/>
      <c r="M7" s="33"/>
      <c r="N7" s="33">
        <f>$C$27*'E Balans VL '!Y9/100/3.6*1000000</f>
        <v>0</v>
      </c>
      <c r="O7" s="33"/>
      <c r="P7" s="33"/>
      <c r="R7" s="32"/>
    </row>
    <row r="8" spans="1:18">
      <c r="A8" s="6" t="s">
        <v>51</v>
      </c>
      <c r="B8" s="37">
        <f t="shared" si="0"/>
        <v>6308.8703012599199</v>
      </c>
      <c r="C8" s="33"/>
      <c r="D8" s="37">
        <f>IF(ISERROR(TER_handel_gas_kWh/1000),0,TER_handel_gas_kWh/1000)*0.902</f>
        <v>2553.7454986276471</v>
      </c>
      <c r="E8" s="33">
        <f>$C$28*'E Balans VL '!I13/100/3.6*1000000</f>
        <v>31.917652090171661</v>
      </c>
      <c r="F8" s="33">
        <f>$C$28*('E Balans VL '!L13+'E Balans VL '!N13)/100/3.6*1000000</f>
        <v>958.58349920486171</v>
      </c>
      <c r="G8" s="34"/>
      <c r="H8" s="33"/>
      <c r="I8" s="33"/>
      <c r="J8" s="33">
        <f>$C$28*('E Balans VL '!D13+'E Balans VL '!E13)/100/3.6*1000000</f>
        <v>0</v>
      </c>
      <c r="K8" s="33"/>
      <c r="L8" s="33"/>
      <c r="M8" s="33"/>
      <c r="N8" s="33">
        <f>$C$28*'E Balans VL '!Y13/100/3.6*1000000</f>
        <v>2.9501966367987968</v>
      </c>
      <c r="O8" s="33"/>
      <c r="P8" s="33"/>
      <c r="R8" s="32"/>
    </row>
    <row r="9" spans="1:18">
      <c r="A9" s="32" t="s">
        <v>50</v>
      </c>
      <c r="B9" s="37">
        <f t="shared" si="0"/>
        <v>106.833722639733</v>
      </c>
      <c r="C9" s="33"/>
      <c r="D9" s="37">
        <f>IF(ISERROR(TER_gezond_gas_kWh/1000),0,TER_gezond_gas_kWh/1000)*0.902</f>
        <v>75.315169608818124</v>
      </c>
      <c r="E9" s="33">
        <f>$C$29*'E Balans VL '!I10/100/3.6*1000000</f>
        <v>3.8849619499801126E-2</v>
      </c>
      <c r="F9" s="33">
        <f>$C$29*('E Balans VL '!L10+'E Balans VL '!N10)/100/3.6*1000000</f>
        <v>23.083880584896459</v>
      </c>
      <c r="G9" s="34"/>
      <c r="H9" s="33"/>
      <c r="I9" s="33"/>
      <c r="J9" s="33">
        <f>$C$29*('E Balans VL '!D10+'E Balans VL '!E10)/100/3.6*1000000</f>
        <v>0</v>
      </c>
      <c r="K9" s="33"/>
      <c r="L9" s="33"/>
      <c r="M9" s="33"/>
      <c r="N9" s="33">
        <f>$C$29*'E Balans VL '!Y10/100/3.6*1000000</f>
        <v>0.81004255503894984</v>
      </c>
      <c r="O9" s="33"/>
      <c r="P9" s="33"/>
      <c r="R9" s="32"/>
    </row>
    <row r="10" spans="1:18">
      <c r="A10" s="32" t="s">
        <v>49</v>
      </c>
      <c r="B10" s="37">
        <f t="shared" si="0"/>
        <v>558.51806903447903</v>
      </c>
      <c r="C10" s="33"/>
      <c r="D10" s="37">
        <f>IF(ISERROR(TER_ander_gas_kWh/1000),0,TER_ander_gas_kWh/1000)*0.902</f>
        <v>535.70128580479718</v>
      </c>
      <c r="E10" s="33">
        <f>$C$30*'E Balans VL '!I14/100/3.6*1000000</f>
        <v>3.4000618086471723</v>
      </c>
      <c r="F10" s="33">
        <f>$C$30*('E Balans VL '!L14+'E Balans VL '!N14)/100/3.6*1000000</f>
        <v>147.8673387747377</v>
      </c>
      <c r="G10" s="34"/>
      <c r="H10" s="33"/>
      <c r="I10" s="33"/>
      <c r="J10" s="33">
        <f>$C$30*('E Balans VL '!D14+'E Balans VL '!E14)/100/3.6*1000000</f>
        <v>0</v>
      </c>
      <c r="K10" s="33"/>
      <c r="L10" s="33"/>
      <c r="M10" s="33"/>
      <c r="N10" s="33">
        <f>$C$30*'E Balans VL '!Y14/100/3.6*1000000</f>
        <v>116.3248293182227</v>
      </c>
      <c r="O10" s="33"/>
      <c r="P10" s="33"/>
      <c r="R10" s="32"/>
    </row>
    <row r="11" spans="1:18">
      <c r="A11" s="32" t="s">
        <v>54</v>
      </c>
      <c r="B11" s="37">
        <f t="shared" si="0"/>
        <v>368.67909588015999</v>
      </c>
      <c r="C11" s="33"/>
      <c r="D11" s="37">
        <f>IF(ISERROR(TER_onderwijs_gas_kWh/1000),0,TER_onderwijs_gas_kWh/1000)*0.902</f>
        <v>1503.6615774225766</v>
      </c>
      <c r="E11" s="33">
        <f>$C$31*'E Balans VL '!I11/100/3.6*1000000</f>
        <v>0.45756267821231167</v>
      </c>
      <c r="F11" s="33">
        <f>$C$31*('E Balans VL '!L11+'E Balans VL '!N11)/100/3.6*1000000</f>
        <v>434.50761729905446</v>
      </c>
      <c r="G11" s="34"/>
      <c r="H11" s="33"/>
      <c r="I11" s="33"/>
      <c r="J11" s="33">
        <f>$C$31*('E Balans VL '!D11+'E Balans VL '!E11)/100/3.6*1000000</f>
        <v>0</v>
      </c>
      <c r="K11" s="33"/>
      <c r="L11" s="33"/>
      <c r="M11" s="33"/>
      <c r="N11" s="33">
        <f>$C$31*'E Balans VL '!Y11/100/3.6*1000000</f>
        <v>1.7696252267980175</v>
      </c>
      <c r="O11" s="33"/>
      <c r="P11" s="33"/>
      <c r="R11" s="32"/>
    </row>
    <row r="12" spans="1:18">
      <c r="A12" s="32" t="s">
        <v>249</v>
      </c>
      <c r="B12" s="37">
        <f t="shared" si="0"/>
        <v>1571.45322125961</v>
      </c>
      <c r="C12" s="33"/>
      <c r="D12" s="37">
        <f>IF(ISERROR(TER_rest_gas_kWh/1000),0,TER_rest_gas_kWh/1000)*0.902</f>
        <v>3318.2362068906887</v>
      </c>
      <c r="E12" s="33">
        <f>$C$32*'E Balans VL '!I8/100/3.6*1000000</f>
        <v>33.669765736627973</v>
      </c>
      <c r="F12" s="33">
        <f>$C$32*('E Balans VL '!L8+'E Balans VL '!N8)/100/3.6*1000000</f>
        <v>310.81006540851854</v>
      </c>
      <c r="G12" s="34"/>
      <c r="H12" s="33"/>
      <c r="I12" s="33"/>
      <c r="J12" s="33">
        <f>$C$32*('E Balans VL '!D8+'E Balans VL '!E8)/100/3.6*1000000</f>
        <v>0</v>
      </c>
      <c r="K12" s="33"/>
      <c r="L12" s="33"/>
      <c r="M12" s="33"/>
      <c r="N12" s="33">
        <f>$C$32*'E Balans VL '!Y8/100/3.6*1000000</f>
        <v>45.753942376373836</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14257.76434681952</v>
      </c>
      <c r="C16" s="21">
        <f ca="1">C5+C13+C14</f>
        <v>0</v>
      </c>
      <c r="D16" s="21">
        <f t="shared" ref="D16:N16" ca="1" si="1">MAX((D5+D13+D14),0)</f>
        <v>16020.741652621244</v>
      </c>
      <c r="E16" s="21">
        <f t="shared" si="1"/>
        <v>284.06660428020359</v>
      </c>
      <c r="F16" s="21">
        <f t="shared" ca="1" si="1"/>
        <v>2714.9697903850401</v>
      </c>
      <c r="G16" s="21">
        <f t="shared" si="1"/>
        <v>0</v>
      </c>
      <c r="H16" s="21">
        <f t="shared" si="1"/>
        <v>0</v>
      </c>
      <c r="I16" s="21">
        <f t="shared" si="1"/>
        <v>0</v>
      </c>
      <c r="J16" s="21">
        <f t="shared" si="1"/>
        <v>0</v>
      </c>
      <c r="K16" s="21">
        <f t="shared" si="1"/>
        <v>0</v>
      </c>
      <c r="L16" s="21">
        <f t="shared" ca="1" si="1"/>
        <v>0</v>
      </c>
      <c r="M16" s="21">
        <f t="shared" si="1"/>
        <v>0</v>
      </c>
      <c r="N16" s="21">
        <f t="shared" ca="1" si="1"/>
        <v>227.29392005238941</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0.17164745348091676</v>
      </c>
      <c r="C18" s="25">
        <f ca="1">'EF ele_warmte'!B22</f>
        <v>7.8529411764705875E-2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2447.3089424625769</v>
      </c>
      <c r="C20" s="23">
        <f t="shared" ref="C20:P20" ca="1" si="2">C16*C18</f>
        <v>0</v>
      </c>
      <c r="D20" s="23">
        <f t="shared" ca="1" si="2"/>
        <v>3236.1898138294914</v>
      </c>
      <c r="E20" s="23">
        <f t="shared" si="2"/>
        <v>64.483119171606219</v>
      </c>
      <c r="F20" s="23">
        <f t="shared" ca="1" si="2"/>
        <v>724.8969340328058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3871.7770628820804</v>
      </c>
      <c r="C26" s="39">
        <f>IF(ISERROR(B26*3.6/1000000/'E Balans VL '!Z12*100),0,B26*3.6/1000000/'E Balans VL '!Z12*100)</f>
        <v>8.0516336263305829E-2</v>
      </c>
      <c r="D26" s="233" t="s">
        <v>676</v>
      </c>
      <c r="F26" s="6"/>
    </row>
    <row r="27" spans="1:18">
      <c r="A27" s="228" t="s">
        <v>52</v>
      </c>
      <c r="B27" s="33">
        <f>IF(ISERROR(TER_horeca_ele_kWh/1000),0,TER_horeca_ele_kWh/1000)</f>
        <v>1471.63287386354</v>
      </c>
      <c r="C27" s="39">
        <f>IF(ISERROR(B27*3.6/1000000/'E Balans VL '!Z9*100),0,B27*3.6/1000000/'E Balans VL '!Z9*100)</f>
        <v>0.12104284821939497</v>
      </c>
      <c r="D27" s="233" t="s">
        <v>676</v>
      </c>
      <c r="F27" s="6"/>
    </row>
    <row r="28" spans="1:18">
      <c r="A28" s="168" t="s">
        <v>51</v>
      </c>
      <c r="B28" s="33">
        <f>IF(ISERROR(TER_handel_ele_kWh/1000),0,TER_handel_ele_kWh/1000)</f>
        <v>6308.8703012599199</v>
      </c>
      <c r="C28" s="39">
        <f>IF(ISERROR(B28*3.6/1000000/'E Balans VL '!Z13*100),0,B28*3.6/1000000/'E Balans VL '!Z13*100)</f>
        <v>0.17462829658780091</v>
      </c>
      <c r="D28" s="233" t="s">
        <v>676</v>
      </c>
      <c r="F28" s="6"/>
    </row>
    <row r="29" spans="1:18">
      <c r="A29" s="228" t="s">
        <v>50</v>
      </c>
      <c r="B29" s="33">
        <f>IF(ISERROR(TER_gezond_ele_kWh/1000),0,TER_gezond_ele_kWh/1000)</f>
        <v>106.833722639733</v>
      </c>
      <c r="C29" s="39">
        <f>IF(ISERROR(B29*3.6/1000000/'E Balans VL '!Z10*100),0,B29*3.6/1000000/'E Balans VL '!Z10*100)</f>
        <v>1.2183610627966536E-2</v>
      </c>
      <c r="D29" s="233" t="s">
        <v>676</v>
      </c>
      <c r="F29" s="6"/>
    </row>
    <row r="30" spans="1:18">
      <c r="A30" s="228" t="s">
        <v>49</v>
      </c>
      <c r="B30" s="33">
        <f>IF(ISERROR(TER_ander_ele_kWh/1000),0,TER_ander_ele_kWh/1000)</f>
        <v>558.51806903447903</v>
      </c>
      <c r="C30" s="39">
        <f>IF(ISERROR(B30*3.6/1000000/'E Balans VL '!Z14*100),0,B30*3.6/1000000/'E Balans VL '!Z14*100)</f>
        <v>4.3230813537841452E-2</v>
      </c>
      <c r="D30" s="233" t="s">
        <v>676</v>
      </c>
      <c r="F30" s="6"/>
    </row>
    <row r="31" spans="1:18">
      <c r="A31" s="228" t="s">
        <v>54</v>
      </c>
      <c r="B31" s="33">
        <f>IF(ISERROR(TER_onderwijs_ele_kWh/1000),0,TER_onderwijs_ele_kWh/1000)</f>
        <v>368.67909588015999</v>
      </c>
      <c r="C31" s="39">
        <f>IF(ISERROR(B31*3.6/1000000/'E Balans VL '!Z11*100),0,B31*3.6/1000000/'E Balans VL '!Z11*100)</f>
        <v>0.114873432443883</v>
      </c>
      <c r="D31" s="233" t="s">
        <v>676</v>
      </c>
    </row>
    <row r="32" spans="1:18">
      <c r="A32" s="228" t="s">
        <v>249</v>
      </c>
      <c r="B32" s="33">
        <f>IF(ISERROR(TER_rest_ele_kWh/1000),0,TER_rest_ele_kWh/1000)</f>
        <v>1571.45322125961</v>
      </c>
      <c r="C32" s="39">
        <f>IF(ISERROR(B32*3.6/1000000/'E Balans VL '!Z8*100),0,B32*3.6/1000000/'E Balans VL '!Z8*100)</f>
        <v>1.2958328507858987E-2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10361.363820649964</v>
      </c>
      <c r="C5" s="17">
        <f>IF(ISERROR('Eigen informatie GS &amp; warmtenet'!B59),0,'Eigen informatie GS &amp; warmtenet'!B59)</f>
        <v>0</v>
      </c>
      <c r="D5" s="30">
        <f>SUM(D6:D15)</f>
        <v>8988.8698199016035</v>
      </c>
      <c r="E5" s="17">
        <f>SUM(E6:E15)</f>
        <v>103.51385325064356</v>
      </c>
      <c r="F5" s="17">
        <f>SUM(F6:F15)</f>
        <v>2517.7508407398009</v>
      </c>
      <c r="G5" s="18"/>
      <c r="H5" s="17"/>
      <c r="I5" s="17"/>
      <c r="J5" s="17">
        <f>SUM(J6:J15)</f>
        <v>51.025294105276089</v>
      </c>
      <c r="K5" s="17"/>
      <c r="L5" s="17"/>
      <c r="M5" s="17"/>
      <c r="N5" s="17">
        <f>SUM(N6:N15)</f>
        <v>228.63061756189163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518.94761762610699</v>
      </c>
      <c r="C8" s="33"/>
      <c r="D8" s="37">
        <f>IF( ISERROR(IND_metaal_Gas_kWH/1000),0,IND_metaal_Gas_kWH/1000)*0.902</f>
        <v>0</v>
      </c>
      <c r="E8" s="33">
        <f>C30*'E Balans VL '!I18/100/3.6*1000000</f>
        <v>3.6465304084606025</v>
      </c>
      <c r="F8" s="33">
        <f>C30*'E Balans VL '!L18/100/3.6*1000000+C30*'E Balans VL '!N18/100/3.6*1000000</f>
        <v>56.977412272940384</v>
      </c>
      <c r="G8" s="34"/>
      <c r="H8" s="33"/>
      <c r="I8" s="33"/>
      <c r="J8" s="40">
        <f>C30*'E Balans VL '!D18/100/3.6*1000000+C30*'E Balans VL '!E18/100/3.6*1000000</f>
        <v>10.70700788705193</v>
      </c>
      <c r="K8" s="33"/>
      <c r="L8" s="33"/>
      <c r="M8" s="33"/>
      <c r="N8" s="33">
        <f>C30*'E Balans VL '!Y18/100/3.6*1000000</f>
        <v>1.9450530454299819</v>
      </c>
      <c r="O8" s="33"/>
      <c r="P8" s="33"/>
      <c r="R8" s="32"/>
    </row>
    <row r="9" spans="1:18">
      <c r="A9" s="6" t="s">
        <v>32</v>
      </c>
      <c r="B9" s="37">
        <f t="shared" si="0"/>
        <v>1285.7006038904699</v>
      </c>
      <c r="C9" s="33"/>
      <c r="D9" s="37">
        <f>IF( ISERROR(IND_andere_gas_kWh/1000),0,IND_andere_gas_kWh/1000)*0.902</f>
        <v>1111.4932219604207</v>
      </c>
      <c r="E9" s="33">
        <f>C31*'E Balans VL '!I19/100/3.6*1000000</f>
        <v>21.594916675868227</v>
      </c>
      <c r="F9" s="33">
        <f>C31*'E Balans VL '!L19/100/3.6*1000000+C31*'E Balans VL '!N19/100/3.6*1000000</f>
        <v>1005.0875040829317</v>
      </c>
      <c r="G9" s="34"/>
      <c r="H9" s="33"/>
      <c r="I9" s="33"/>
      <c r="J9" s="40">
        <f>C31*'E Balans VL '!D19/100/3.6*1000000+C31*'E Balans VL '!E19/100/3.6*1000000</f>
        <v>0.11595884509680604</v>
      </c>
      <c r="K9" s="33"/>
      <c r="L9" s="33"/>
      <c r="M9" s="33"/>
      <c r="N9" s="33">
        <f>C31*'E Balans VL '!Y19/100/3.6*1000000</f>
        <v>95.291041998506472</v>
      </c>
      <c r="O9" s="33"/>
      <c r="P9" s="33"/>
      <c r="R9" s="32"/>
    </row>
    <row r="10" spans="1:18">
      <c r="A10" s="6" t="s">
        <v>40</v>
      </c>
      <c r="B10" s="37">
        <f t="shared" si="0"/>
        <v>6612.7109090946296</v>
      </c>
      <c r="C10" s="33"/>
      <c r="D10" s="37">
        <f>IF( ISERROR(IND_voed_gas_kWh/1000),0,IND_voed_gas_kWh/1000)*0.902</f>
        <v>4314.7786704671207</v>
      </c>
      <c r="E10" s="33">
        <f>C32*'E Balans VL '!I20/100/3.6*1000000</f>
        <v>60.331626422693233</v>
      </c>
      <c r="F10" s="33">
        <f>C32*'E Balans VL '!L20/100/3.6*1000000+C32*'E Balans VL '!N20/100/3.6*1000000</f>
        <v>1066.8371031298827</v>
      </c>
      <c r="G10" s="34"/>
      <c r="H10" s="33"/>
      <c r="I10" s="33"/>
      <c r="J10" s="40">
        <f>C32*'E Balans VL '!D20/100/3.6*1000000+C32*'E Balans VL '!E20/100/3.6*1000000</f>
        <v>27.235479026784063</v>
      </c>
      <c r="K10" s="33"/>
      <c r="L10" s="33"/>
      <c r="M10" s="33"/>
      <c r="N10" s="33">
        <f>C32*'E Balans VL '!Y20/100/3.6*1000000</f>
        <v>96.738746331158566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18.240536152587701</v>
      </c>
      <c r="C13" s="33"/>
      <c r="D13" s="37">
        <f>IF( ISERROR(IND_papier_gas_kWh/1000),0,IND_papier_gas_kWh/1000)*0.902</f>
        <v>0</v>
      </c>
      <c r="E13" s="33">
        <f>C35*'E Balans VL '!I23/100/3.6*1000000</f>
        <v>0.56121369385545761</v>
      </c>
      <c r="F13" s="33">
        <f>C35*'E Balans VL '!L23/100/3.6*1000000+C35*'E Balans VL '!N23/100/3.6*1000000</f>
        <v>3.8731032942697077</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1925.7641538861699</v>
      </c>
      <c r="C15" s="33"/>
      <c r="D15" s="37">
        <f>IF( ISERROR(IND_rest_gas_kWh/1000),0,IND_rest_gas_kWh/1000)*0.902</f>
        <v>3562.5979274740621</v>
      </c>
      <c r="E15" s="33">
        <f>C37*'E Balans VL '!I15/100/3.6*1000000</f>
        <v>17.379566049766034</v>
      </c>
      <c r="F15" s="33">
        <f>C37*'E Balans VL '!L15/100/3.6*1000000+C37*'E Balans VL '!N15/100/3.6*1000000</f>
        <v>384.97571795977632</v>
      </c>
      <c r="G15" s="34"/>
      <c r="H15" s="33"/>
      <c r="I15" s="33"/>
      <c r="J15" s="40">
        <f>C37*'E Balans VL '!D15/100/3.6*1000000+C37*'E Balans VL '!E15/100/3.6*1000000</f>
        <v>12.966848346343289</v>
      </c>
      <c r="K15" s="33"/>
      <c r="L15" s="33"/>
      <c r="M15" s="33"/>
      <c r="N15" s="33">
        <f>C37*'E Balans VL '!Y15/100/3.6*1000000</f>
        <v>34.655776186796594</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10361.363820649964</v>
      </c>
      <c r="C18" s="21">
        <f>C5+C16</f>
        <v>0</v>
      </c>
      <c r="D18" s="21">
        <f>MAX((D5+D16),0)</f>
        <v>8988.8698199016035</v>
      </c>
      <c r="E18" s="21">
        <f>MAX((E5+E16),0)</f>
        <v>103.51385325064356</v>
      </c>
      <c r="F18" s="21">
        <f>MAX((F5+F16),0)</f>
        <v>2517.7508407398009</v>
      </c>
      <c r="G18" s="21"/>
      <c r="H18" s="21"/>
      <c r="I18" s="21"/>
      <c r="J18" s="21">
        <f>MAX((J5+J16),0)</f>
        <v>51.025294105276089</v>
      </c>
      <c r="K18" s="21"/>
      <c r="L18" s="21">
        <f>MAX((L5+L16),0)</f>
        <v>0</v>
      </c>
      <c r="M18" s="21"/>
      <c r="N18" s="21">
        <f>MAX((N5+N16),0)</f>
        <v>228.63061756189163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0.17164745348091676</v>
      </c>
      <c r="C20" s="25">
        <f ca="1">'EF ele_warmte'!B22</f>
        <v>7.8529411764705875E-2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1778.5017144038686</v>
      </c>
      <c r="C22" s="23">
        <f ca="1">C18*C20</f>
        <v>0</v>
      </c>
      <c r="D22" s="23">
        <f>D18*D20</f>
        <v>1815.7517036201241</v>
      </c>
      <c r="E22" s="23">
        <f>E18*E20</f>
        <v>23.497644687896091</v>
      </c>
      <c r="F22" s="23">
        <f>F18*F20</f>
        <v>672.23947447752687</v>
      </c>
      <c r="G22" s="23"/>
      <c r="H22" s="23"/>
      <c r="I22" s="23"/>
      <c r="J22" s="23">
        <f>J18*J20</f>
        <v>18.062954113267736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518.94761762610699</v>
      </c>
      <c r="C30" s="39">
        <f>IF(ISERROR(B30*3.6/1000000/'E Balans VL '!Z18*100),0,B30*3.6/1000000/'E Balans VL '!Z18*100)</f>
        <v>3.4546659801340592E-2</v>
      </c>
      <c r="D30" s="233" t="s">
        <v>676</v>
      </c>
    </row>
    <row r="31" spans="1:18">
      <c r="A31" s="6" t="s">
        <v>32</v>
      </c>
      <c r="B31" s="37">
        <f>IF( ISERROR(IND_ander_ele_kWh/1000),0,IND_ander_ele_kWh/1000)</f>
        <v>1285.7006038904699</v>
      </c>
      <c r="C31" s="39">
        <f>IF(ISERROR(B31*3.6/1000000/'E Balans VL '!Z19*100),0,B31*3.6/1000000/'E Balans VL '!Z19*100)</f>
        <v>5.6990012607303991E-2</v>
      </c>
      <c r="D31" s="233" t="s">
        <v>676</v>
      </c>
    </row>
    <row r="32" spans="1:18">
      <c r="A32" s="168" t="s">
        <v>40</v>
      </c>
      <c r="B32" s="37">
        <f>IF( ISERROR(IND_voed_ele_kWh/1000),0,IND_voed_ele_kWh/1000)</f>
        <v>6612.7109090946296</v>
      </c>
      <c r="C32" s="39">
        <f>IF(ISERROR(B32*3.6/1000000/'E Balans VL '!Z20*100),0,B32*3.6/1000000/'E Balans VL '!Z20*100)</f>
        <v>0.22088351377623702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18.240536152587701</v>
      </c>
      <c r="C35" s="39">
        <f>IF(ISERROR(B35*3.6/1000000/'E Balans VL '!Z22*100),0,B35*3.6/1000000/'E Balans VL '!Z22*100)</f>
        <v>3.5475839207778745E-3</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1925.7641538861699</v>
      </c>
      <c r="C37" s="39">
        <f>IF(ISERROR(B37*3.6/1000000/'E Balans VL '!Z15*100),0,B37*3.6/1000000/'E Balans VL '!Z15*100)</f>
        <v>1.4324547966740889E-2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2179.348931510669</v>
      </c>
      <c r="C5" s="17">
        <f>'Eigen informatie GS &amp; warmtenet'!B60</f>
        <v>0</v>
      </c>
      <c r="D5" s="30">
        <f>IF(ISERROR(SUM(LB_lb_gas_kWh,LB_rest_gas_kWh)/1000),0,SUM(LB_lb_gas_kWh,LB_rest_gas_kWh)/1000)*0.902</f>
        <v>251.75458546380807</v>
      </c>
      <c r="E5" s="17">
        <f>B17*'E Balans VL '!I25/3.6*1000000/100</f>
        <v>19.638699222972836</v>
      </c>
      <c r="F5" s="17">
        <f>B17*('E Balans VL '!L25/3.6*1000000+'E Balans VL '!N25/3.6*1000000)/100</f>
        <v>8166.0869143118862</v>
      </c>
      <c r="G5" s="18"/>
      <c r="H5" s="17"/>
      <c r="I5" s="17"/>
      <c r="J5" s="17">
        <f>('E Balans VL '!D25+'E Balans VL '!E25)/3.6*1000000*landbouw!B17/100</f>
        <v>220.54109833338637</v>
      </c>
      <c r="K5" s="17"/>
      <c r="L5" s="17">
        <f>L6*(-1)</f>
        <v>4455</v>
      </c>
      <c r="M5" s="17"/>
      <c r="N5" s="17">
        <f>N6*(-1)</f>
        <v>0</v>
      </c>
      <c r="O5" s="17"/>
      <c r="P5" s="17"/>
      <c r="R5" s="32"/>
    </row>
    <row r="6" spans="1:18">
      <c r="A6" s="16" t="s">
        <v>483</v>
      </c>
      <c r="B6" s="17" t="s">
        <v>204</v>
      </c>
      <c r="C6" s="17">
        <f>'lokale energieproductie'!O39+'lokale energieproductie'!O32</f>
        <v>2673</v>
      </c>
      <c r="D6" s="302">
        <f>('lokale energieproductie'!P32+'lokale energieproductie'!P39)*(-1)</f>
        <v>0</v>
      </c>
      <c r="E6" s="244"/>
      <c r="F6" s="302">
        <f>('lokale energieproductie'!S32+'lokale energieproductie'!S39)*(-1)</f>
        <v>-1485</v>
      </c>
      <c r="G6" s="245"/>
      <c r="H6" s="244"/>
      <c r="I6" s="244"/>
      <c r="J6" s="244"/>
      <c r="K6" s="244"/>
      <c r="L6" s="302">
        <f>('lokale energieproductie'!T32+'lokale energieproductie'!U32+'lokale energieproductie'!T39+'lokale energieproductie'!U39)*(-1)</f>
        <v>-4455</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2179.348931510669</v>
      </c>
      <c r="C8" s="21">
        <f>C5+C6</f>
        <v>2673</v>
      </c>
      <c r="D8" s="21">
        <f>MAX((D5+D6),0)</f>
        <v>251.75458546380807</v>
      </c>
      <c r="E8" s="21">
        <f>MAX((E5+E6),0)</f>
        <v>19.638699222972836</v>
      </c>
      <c r="F8" s="21">
        <f>MAX((F5+F6),0)</f>
        <v>6681.0869143118862</v>
      </c>
      <c r="G8" s="21"/>
      <c r="H8" s="21"/>
      <c r="I8" s="21"/>
      <c r="J8" s="21">
        <f>MAX((J5+J6),0)</f>
        <v>220.54109833338637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0.17164745348091676</v>
      </c>
      <c r="C10" s="31">
        <f ca="1">'EF ele_warmte'!B22</f>
        <v>7.8529411764705875E-2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374.0796943401632</v>
      </c>
      <c r="C12" s="23">
        <f ca="1">C8*C10</f>
        <v>209.90911764705879</v>
      </c>
      <c r="D12" s="23">
        <f>D8*D10</f>
        <v>50.854426263689234</v>
      </c>
      <c r="E12" s="23">
        <f>E8*E10</f>
        <v>4.4579847236148336</v>
      </c>
      <c r="F12" s="23">
        <f>F8*F10</f>
        <v>1783.8502061212737</v>
      </c>
      <c r="G12" s="23"/>
      <c r="H12" s="23"/>
      <c r="I12" s="23"/>
      <c r="J12" s="23">
        <f>J8*J10</f>
        <v>78.071548810018768</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0.33544386976819418</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298.97875438508925</v>
      </c>
      <c r="C26" s="243">
        <f>B26*'GWP N2O_CH4'!B5</f>
        <v>6278.5538420868743</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185.17452076697904</v>
      </c>
      <c r="C27" s="243">
        <f>B27*'GWP N2O_CH4'!B5</f>
        <v>3888.6649361065597</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4.5968379344770005</v>
      </c>
      <c r="C28" s="243">
        <f>B28*'GWP N2O_CH4'!B4</f>
        <v>1425.0197596878702</v>
      </c>
      <c r="D28" s="50"/>
    </row>
    <row r="29" spans="1:4">
      <c r="A29" s="41" t="s">
        <v>266</v>
      </c>
      <c r="B29" s="243">
        <f>B34*'ha_N2O bodem landbouw'!B4</f>
        <v>10.010633768587521</v>
      </c>
      <c r="C29" s="243">
        <f>B29*'GWP N2O_CH4'!B4</f>
        <v>3103.2964682621314</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2.599070995676145E-3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5.3977164957344464E-6</v>
      </c>
      <c r="C5" s="431" t="s">
        <v>204</v>
      </c>
      <c r="D5" s="416">
        <f>SUM(D6:D11)</f>
        <v>1.6439311072665239E-5</v>
      </c>
      <c r="E5" s="416">
        <f>SUM(E6:E11)</f>
        <v>1.937051297459056E-3</v>
      </c>
      <c r="F5" s="429" t="s">
        <v>204</v>
      </c>
      <c r="G5" s="416">
        <f>SUM(G6:G11)</f>
        <v>0.4811318021302049</v>
      </c>
      <c r="H5" s="416">
        <f>SUM(H6:H11)</f>
        <v>5.9010461907759298E-2</v>
      </c>
      <c r="I5" s="431" t="s">
        <v>204</v>
      </c>
      <c r="J5" s="431" t="s">
        <v>204</v>
      </c>
      <c r="K5" s="431" t="s">
        <v>204</v>
      </c>
      <c r="L5" s="431" t="s">
        <v>204</v>
      </c>
      <c r="M5" s="416">
        <f>SUM(M6:M11)</f>
        <v>2.3442721238302003E-2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1.1270045384851745E-6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3.5573637525410667E-6</v>
      </c>
      <c r="E6" s="419">
        <f>vkm_GW_PW*SUMIFS(TableVerdeelsleutelVkm[LPG],TableVerdeelsleutelVkm[Voertuigtype],"Lichte voertuigen")*SUMIFS(TableECFTransport[EnergieConsumptieFactor (PJ per km)],TableECFTransport[Index],CONCATENATE($A6,"_LPG_LPG"))</f>
        <v>3.6946232980615681E-4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4.9316752718169425E-2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1.2386243055192295E-2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2.6946028920892106E-3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6.5662027614781623E-8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2.9598835170098751E-2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8.7092658897961731E-7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1.2751333279681961E-3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5.44757383654459E-7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2.9164380524067267E-6</v>
      </c>
      <c r="E8" s="419">
        <f>vkm_NGW_PW*SUMIFS(TableVerdeelsleutelVkm[LPG],TableVerdeelsleutelVkm[Voertuigtype],"Lichte voertuigen")*SUMIFS(TableECFTransport[EnergieConsumptieFactor (PJ per km)],TableECFTransport[Index],CONCATENATE($A8,"_LPG_LPG"))</f>
        <v>2.8508223256079157E-4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3.6199701469347929E-2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9.5906272853258732E-3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2.0008627070232997E-3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2.5896172187857188E-8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1.6169437841004462E-2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4.1459043708836434E-7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6.9658503841968345E-4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3.1956546900334133E-6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9.9655092677174458E-6</v>
      </c>
      <c r="E10" s="419">
        <f>vkm_SW_PW*SUMIFS(TableVerdeelsleutelVkm[LPG],TableVerdeelsleutelVkm[Voertuigtype],"Lichte voertuigen")*SUMIFS(TableECFTransport[EnergieConsumptieFactor (PJ per km)],TableECFTransport[Index],CONCATENATE($A10,"_LPG_LPG"))</f>
        <v>1.2825067350921077E-3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0.15901163971178503</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3.7026316329165601E-2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8.5542294949428038E-3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4.387416837587613E-7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0.19083543521979929</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5.989721049462286E-6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8.2213077778588075E-3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1.4993656932595685</v>
      </c>
      <c r="C14" s="21"/>
      <c r="D14" s="21">
        <f t="shared" ref="D14:M14" si="0">((D5)*10^9/3600)+D12</f>
        <v>4.5664752979625662</v>
      </c>
      <c r="E14" s="21">
        <f t="shared" si="0"/>
        <v>538.06980484973781</v>
      </c>
      <c r="F14" s="21"/>
      <c r="G14" s="21">
        <f t="shared" si="0"/>
        <v>133647.72281394582</v>
      </c>
      <c r="H14" s="21">
        <f t="shared" si="0"/>
        <v>16391.794974377583</v>
      </c>
      <c r="I14" s="21"/>
      <c r="J14" s="21"/>
      <c r="K14" s="21"/>
      <c r="L14" s="21"/>
      <c r="M14" s="21">
        <f t="shared" si="0"/>
        <v>6511.8670106394457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0.17164745348091676</v>
      </c>
      <c r="C16" s="56">
        <f ca="1">'EF ele_warmte'!B22</f>
        <v>7.8529411764705875E-2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0.2573623030846543</v>
      </c>
      <c r="C18" s="23"/>
      <c r="D18" s="23">
        <f t="shared" ref="D18:M18" si="1">D14*D16</f>
        <v>0.92242801018843845</v>
      </c>
      <c r="E18" s="23">
        <f t="shared" si="1"/>
        <v>122.14184570089049</v>
      </c>
      <c r="F18" s="23"/>
      <c r="G18" s="23">
        <f t="shared" si="1"/>
        <v>35683.941991323532</v>
      </c>
      <c r="H18" s="23">
        <f t="shared" si="1"/>
        <v>4081.5569486200179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2.5963489437514516E-5</v>
      </c>
      <c r="C50" s="313">
        <f t="shared" ref="C50:P50" si="2">SUM(C51:C52)</f>
        <v>0</v>
      </c>
      <c r="D50" s="313">
        <f t="shared" si="2"/>
        <v>0</v>
      </c>
      <c r="E50" s="313">
        <f t="shared" si="2"/>
        <v>0</v>
      </c>
      <c r="F50" s="313">
        <f t="shared" si="2"/>
        <v>0</v>
      </c>
      <c r="G50" s="313">
        <f t="shared" si="2"/>
        <v>5.6325183637124382E-3</v>
      </c>
      <c r="H50" s="313">
        <f t="shared" si="2"/>
        <v>0</v>
      </c>
      <c r="I50" s="313">
        <f t="shared" si="2"/>
        <v>0</v>
      </c>
      <c r="J50" s="313">
        <f t="shared" si="2"/>
        <v>0</v>
      </c>
      <c r="K50" s="313">
        <f t="shared" si="2"/>
        <v>0</v>
      </c>
      <c r="L50" s="313">
        <f t="shared" si="2"/>
        <v>0</v>
      </c>
      <c r="M50" s="313">
        <f t="shared" si="2"/>
        <v>2.4116280042847833E-4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2.5963489437514516E-5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5.6325183637124382E-3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2.4116280042847833E-4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7.2120803993095874</v>
      </c>
      <c r="C54" s="21">
        <f t="shared" ref="C54:P54" si="3">(C50)*10^9/3600</f>
        <v>0</v>
      </c>
      <c r="D54" s="21">
        <f t="shared" si="3"/>
        <v>0</v>
      </c>
      <c r="E54" s="21">
        <f t="shared" si="3"/>
        <v>0</v>
      </c>
      <c r="F54" s="21">
        <f t="shared" si="3"/>
        <v>0</v>
      </c>
      <c r="G54" s="21">
        <f t="shared" si="3"/>
        <v>1564.5884343645662</v>
      </c>
      <c r="H54" s="21">
        <f t="shared" si="3"/>
        <v>0</v>
      </c>
      <c r="I54" s="21">
        <f t="shared" si="3"/>
        <v>0</v>
      </c>
      <c r="J54" s="21">
        <f t="shared" si="3"/>
        <v>0</v>
      </c>
      <c r="K54" s="21">
        <f t="shared" si="3"/>
        <v>0</v>
      </c>
      <c r="L54" s="21">
        <f t="shared" si="3"/>
        <v>0</v>
      </c>
      <c r="M54" s="21">
        <f t="shared" si="3"/>
        <v>66.989666785688428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0.17164745348091676</v>
      </c>
      <c r="C56" s="56">
        <f ca="1">'EF ele_warmte'!B22</f>
        <v>7.8529411764705875E-2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1.2379352348411239</v>
      </c>
      <c r="C58" s="23">
        <f t="shared" ref="C58:P58" ca="1" si="4">C54*C56</f>
        <v>0</v>
      </c>
      <c r="D58" s="23">
        <f t="shared" si="4"/>
        <v>0</v>
      </c>
      <c r="E58" s="23">
        <f t="shared" si="4"/>
        <v>0</v>
      </c>
      <c r="F58" s="23">
        <f t="shared" si="4"/>
        <v>0</v>
      </c>
      <c r="G58" s="23">
        <f t="shared" si="4"/>
        <v>417.74511197533917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9911.2119547937709</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2228.0565748668282</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2376</v>
      </c>
      <c r="C8" s="542">
        <f>B48</f>
        <v>0</v>
      </c>
      <c r="D8" s="920"/>
      <c r="E8" s="920">
        <f>E48</f>
        <v>698.82352941176475</v>
      </c>
      <c r="F8" s="921"/>
      <c r="G8" s="543"/>
      <c r="H8" s="920">
        <f>I48</f>
        <v>0</v>
      </c>
      <c r="I8" s="920">
        <f>G48+F48</f>
        <v>2096.4705882352941</v>
      </c>
      <c r="J8" s="920">
        <f>H48+D48+C48</f>
        <v>0</v>
      </c>
      <c r="K8" s="920"/>
      <c r="L8" s="920"/>
      <c r="M8" s="920"/>
      <c r="N8" s="544"/>
      <c r="O8" s="545">
        <f>C8*$C$12+D8*$D$12+E8*$E$12+F8*$F$12+G8*$G$12+H8*$H$12+I8*$I$12+J8*$J$12</f>
        <v>186.58588235294121</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14515.2685296606</v>
      </c>
      <c r="C10" s="554">
        <f t="shared" ref="C10:L10" si="0">SUM(C8:C9)</f>
        <v>0</v>
      </c>
      <c r="D10" s="554">
        <f t="shared" si="0"/>
        <v>0</v>
      </c>
      <c r="E10" s="554">
        <f t="shared" si="0"/>
        <v>698.82352941176475</v>
      </c>
      <c r="F10" s="554">
        <f t="shared" si="0"/>
        <v>0</v>
      </c>
      <c r="G10" s="554">
        <f t="shared" si="0"/>
        <v>0</v>
      </c>
      <c r="H10" s="554">
        <f t="shared" si="0"/>
        <v>0</v>
      </c>
      <c r="I10" s="554">
        <f t="shared" si="0"/>
        <v>2096.4705882352941</v>
      </c>
      <c r="J10" s="554">
        <f t="shared" si="0"/>
        <v>0</v>
      </c>
      <c r="K10" s="554">
        <f t="shared" si="0"/>
        <v>0</v>
      </c>
      <c r="L10" s="554">
        <f t="shared" si="0"/>
        <v>0</v>
      </c>
      <c r="M10" s="915"/>
      <c r="N10" s="915"/>
      <c r="O10" s="555">
        <f>SUM(O4:O9)</f>
        <v>186.58588235294121</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2673</v>
      </c>
      <c r="C17" s="566">
        <f>B49</f>
        <v>0</v>
      </c>
      <c r="D17" s="567"/>
      <c r="E17" s="567">
        <f>E49</f>
        <v>786.17647058823525</v>
      </c>
      <c r="F17" s="568"/>
      <c r="G17" s="569"/>
      <c r="H17" s="566">
        <f>I49</f>
        <v>0</v>
      </c>
      <c r="I17" s="567">
        <f>G49+F49</f>
        <v>2358.5294117647059</v>
      </c>
      <c r="J17" s="567">
        <f>H49+D49+C49</f>
        <v>0</v>
      </c>
      <c r="K17" s="567"/>
      <c r="L17" s="567"/>
      <c r="M17" s="567"/>
      <c r="N17" s="916"/>
      <c r="O17" s="570">
        <f>C17*$C$22+E17*$E$22+H17*$H$22+I17*$I$22+J17*$J$22+D17*$D$22+F17*$F$22+G17*$G$22+K17*$K$22+L17*$L$22</f>
        <v>209.90911764705882</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2673</v>
      </c>
      <c r="C20" s="553">
        <f>SUM(C17:C19)</f>
        <v>0</v>
      </c>
      <c r="D20" s="553">
        <f t="shared" ref="D20:L20" si="1">SUM(D17:D19)</f>
        <v>0</v>
      </c>
      <c r="E20" s="553">
        <f t="shared" si="1"/>
        <v>786.17647058823525</v>
      </c>
      <c r="F20" s="553">
        <f t="shared" si="1"/>
        <v>0</v>
      </c>
      <c r="G20" s="553">
        <f t="shared" si="1"/>
        <v>0</v>
      </c>
      <c r="H20" s="553">
        <f t="shared" si="1"/>
        <v>0</v>
      </c>
      <c r="I20" s="553">
        <f t="shared" si="1"/>
        <v>2358.5294117647059</v>
      </c>
      <c r="J20" s="553">
        <f t="shared" si="1"/>
        <v>0</v>
      </c>
      <c r="K20" s="553">
        <f t="shared" si="1"/>
        <v>0</v>
      </c>
      <c r="L20" s="553">
        <f t="shared" si="1"/>
        <v>0</v>
      </c>
      <c r="M20" s="553"/>
      <c r="N20" s="553"/>
      <c r="O20" s="574">
        <f>SUM(O17:O19)</f>
        <v>209.90911764705882</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38.25" hidden="1">
      <c r="A28" s="578"/>
      <c r="B28" s="736">
        <v>46013</v>
      </c>
      <c r="C28" s="736">
        <v>9150</v>
      </c>
      <c r="D28" s="626"/>
      <c r="E28" s="625"/>
      <c r="F28" s="625"/>
      <c r="G28" s="625" t="s">
        <v>962</v>
      </c>
      <c r="H28" s="625" t="s">
        <v>963</v>
      </c>
      <c r="I28" s="625"/>
      <c r="J28" s="735"/>
      <c r="K28" s="735"/>
      <c r="L28" s="625" t="s">
        <v>964</v>
      </c>
      <c r="M28" s="625">
        <v>528</v>
      </c>
      <c r="N28" s="625">
        <v>2376</v>
      </c>
      <c r="O28" s="625">
        <v>2673</v>
      </c>
      <c r="P28" s="625">
        <v>0</v>
      </c>
      <c r="Q28" s="625">
        <v>0</v>
      </c>
      <c r="R28" s="625">
        <v>0</v>
      </c>
      <c r="S28" s="625">
        <v>1485</v>
      </c>
      <c r="T28" s="625">
        <v>4455</v>
      </c>
      <c r="U28" s="625">
        <v>0</v>
      </c>
      <c r="V28" s="625">
        <v>0</v>
      </c>
      <c r="W28" s="625">
        <v>0</v>
      </c>
      <c r="X28" s="625"/>
      <c r="Y28" s="625">
        <v>10</v>
      </c>
      <c r="Z28" s="625" t="s">
        <v>105</v>
      </c>
      <c r="AA28" s="627" t="s">
        <v>105</v>
      </c>
    </row>
    <row r="29" spans="1:27" s="561" customFormat="1" hidden="1">
      <c r="A29" s="581" t="s">
        <v>269</v>
      </c>
      <c r="B29" s="582"/>
      <c r="C29" s="582"/>
      <c r="D29" s="582"/>
      <c r="E29" s="582"/>
      <c r="F29" s="582"/>
      <c r="G29" s="582"/>
      <c r="H29" s="582"/>
      <c r="I29" s="582"/>
      <c r="J29" s="582"/>
      <c r="K29" s="582"/>
      <c r="L29" s="583"/>
      <c r="M29" s="583">
        <f>SUM(M28:M28)</f>
        <v>528</v>
      </c>
      <c r="N29" s="583">
        <f>SUM(N28:N28)</f>
        <v>2376</v>
      </c>
      <c r="O29" s="583">
        <f>SUM(O28:O28)</f>
        <v>2673</v>
      </c>
      <c r="P29" s="583">
        <f>SUM(P28:P28)</f>
        <v>0</v>
      </c>
      <c r="Q29" s="583">
        <f>SUM(Q28:Q28)</f>
        <v>0</v>
      </c>
      <c r="R29" s="583">
        <f>SUM(R28:R28)</f>
        <v>0</v>
      </c>
      <c r="S29" s="583">
        <f>SUM(S28:S28)</f>
        <v>1485</v>
      </c>
      <c r="T29" s="583">
        <f>SUM(T28:T28)</f>
        <v>4455</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528</v>
      </c>
      <c r="N32" s="588">
        <f>SUMIF($AA$28:$AA$28,"landbouw",N28:N28)</f>
        <v>2376</v>
      </c>
      <c r="O32" s="588">
        <f>SUMIF($AA$28:$AA$28,"landbouw",O28:O28)</f>
        <v>2673</v>
      </c>
      <c r="P32" s="588">
        <f>SUMIF($AA$28:$AA$28,"landbouw",P28:P28)</f>
        <v>0</v>
      </c>
      <c r="Q32" s="588">
        <f>SUMIF($AA$28:$AA$28,"landbouw",Q28:Q28)</f>
        <v>0</v>
      </c>
      <c r="R32" s="588">
        <f>SUMIF($AA$28:$AA$28,"landbouw",R28:R28)</f>
        <v>0</v>
      </c>
      <c r="S32" s="588">
        <f>SUMIF($AA$28:$AA$28,"landbouw",S28:S28)</f>
        <v>1485</v>
      </c>
      <c r="T32" s="588">
        <f>SUMIF($AA$28:$AA$28,"landbouw",T28:T28)</f>
        <v>4455</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0.52941176470588236</v>
      </c>
      <c r="C45" s="608">
        <f>IF(ISERROR(N29/(O29+N29)),0,N29/(N29+O29))</f>
        <v>0.47058823529411764</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698.82352941176475</v>
      </c>
      <c r="F48" s="617">
        <f t="shared" si="2"/>
        <v>2096.4705882352941</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786.17647058823525</v>
      </c>
      <c r="F49" s="620">
        <f t="shared" si="3"/>
        <v>2358.5294117647059</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15379.29934681952</v>
      </c>
      <c r="D10" s="635">
        <f ca="1">tertiair!C16</f>
        <v>0</v>
      </c>
      <c r="E10" s="635">
        <f ca="1">tertiair!D16</f>
        <v>16020.741652621244</v>
      </c>
      <c r="F10" s="635">
        <f>tertiair!E16</f>
        <v>284.06660428020359</v>
      </c>
      <c r="G10" s="635">
        <f ca="1">tertiair!F16</f>
        <v>2714.9697903850401</v>
      </c>
      <c r="H10" s="635">
        <f>tertiair!G16</f>
        <v>0</v>
      </c>
      <c r="I10" s="635">
        <f>tertiair!H16</f>
        <v>0</v>
      </c>
      <c r="J10" s="635">
        <f>tertiair!I16</f>
        <v>0</v>
      </c>
      <c r="K10" s="635">
        <f>tertiair!J16</f>
        <v>0</v>
      </c>
      <c r="L10" s="635">
        <f>tertiair!K16</f>
        <v>0</v>
      </c>
      <c r="M10" s="635">
        <f ca="1">tertiair!L16</f>
        <v>0</v>
      </c>
      <c r="N10" s="635">
        <f>tertiair!M16</f>
        <v>0</v>
      </c>
      <c r="O10" s="635">
        <f ca="1">tertiair!N16</f>
        <v>227.29392005238941</v>
      </c>
      <c r="P10" s="635">
        <f>tertiair!O16</f>
        <v>1.5633333333333335</v>
      </c>
      <c r="Q10" s="636">
        <f>tertiair!P16</f>
        <v>0</v>
      </c>
      <c r="R10" s="638">
        <f ca="1">SUM(C10:Q10)</f>
        <v>34627.934647491733</v>
      </c>
      <c r="S10" s="67"/>
    </row>
    <row r="11" spans="1:19" s="441" customFormat="1">
      <c r="A11" s="749" t="s">
        <v>214</v>
      </c>
      <c r="B11" s="754"/>
      <c r="C11" s="635">
        <f>huishoudens!B8</f>
        <v>31825.405556348855</v>
      </c>
      <c r="D11" s="635">
        <f>huishoudens!C8</f>
        <v>0</v>
      </c>
      <c r="E11" s="635">
        <f>huishoudens!D8</f>
        <v>75454.787885805737</v>
      </c>
      <c r="F11" s="635">
        <f>huishoudens!E8</f>
        <v>804.58464980390715</v>
      </c>
      <c r="G11" s="635">
        <f>huishoudens!F8</f>
        <v>27464.010763470727</v>
      </c>
      <c r="H11" s="635">
        <f>huishoudens!G8</f>
        <v>0</v>
      </c>
      <c r="I11" s="635">
        <f>huishoudens!H8</f>
        <v>0</v>
      </c>
      <c r="J11" s="635">
        <f>huishoudens!I8</f>
        <v>0</v>
      </c>
      <c r="K11" s="635">
        <f>huishoudens!J8</f>
        <v>618.4198932388789</v>
      </c>
      <c r="L11" s="635">
        <f>huishoudens!K8</f>
        <v>0</v>
      </c>
      <c r="M11" s="635">
        <f>huishoudens!L8</f>
        <v>0</v>
      </c>
      <c r="N11" s="635">
        <f>huishoudens!M8</f>
        <v>0</v>
      </c>
      <c r="O11" s="635">
        <f>huishoudens!N8</f>
        <v>7471.2933492302718</v>
      </c>
      <c r="P11" s="635">
        <f>huishoudens!O8</f>
        <v>168.84</v>
      </c>
      <c r="Q11" s="636">
        <f>huishoudens!P8</f>
        <v>114.4</v>
      </c>
      <c r="R11" s="638">
        <f>SUM(C11:Q11)</f>
        <v>143921.74209789836</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10361.363820649964</v>
      </c>
      <c r="D13" s="635">
        <f>industrie!C18</f>
        <v>0</v>
      </c>
      <c r="E13" s="635">
        <f>industrie!D18</f>
        <v>8988.8698199016035</v>
      </c>
      <c r="F13" s="635">
        <f>industrie!E18</f>
        <v>103.51385325064356</v>
      </c>
      <c r="G13" s="635">
        <f>industrie!F18</f>
        <v>2517.7508407398009</v>
      </c>
      <c r="H13" s="635">
        <f>industrie!G18</f>
        <v>0</v>
      </c>
      <c r="I13" s="635">
        <f>industrie!H18</f>
        <v>0</v>
      </c>
      <c r="J13" s="635">
        <f>industrie!I18</f>
        <v>0</v>
      </c>
      <c r="K13" s="635">
        <f>industrie!J18</f>
        <v>51.025294105276089</v>
      </c>
      <c r="L13" s="635">
        <f>industrie!K18</f>
        <v>0</v>
      </c>
      <c r="M13" s="635">
        <f>industrie!L18</f>
        <v>0</v>
      </c>
      <c r="N13" s="635">
        <f>industrie!M18</f>
        <v>0</v>
      </c>
      <c r="O13" s="635">
        <f>industrie!N18</f>
        <v>228.63061756189163</v>
      </c>
      <c r="P13" s="635">
        <f>industrie!O18</f>
        <v>0</v>
      </c>
      <c r="Q13" s="636">
        <f>industrie!P18</f>
        <v>0</v>
      </c>
      <c r="R13" s="638">
        <f>SUM(C13:Q13)</f>
        <v>22251.154246209178</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57566.068723818331</v>
      </c>
      <c r="D16" s="668">
        <f t="shared" ref="D16:R16" ca="1" si="0">SUM(D9:D15)</f>
        <v>0</v>
      </c>
      <c r="E16" s="668">
        <f t="shared" ca="1" si="0"/>
        <v>100464.39935832859</v>
      </c>
      <c r="F16" s="668">
        <f t="shared" si="0"/>
        <v>1192.1651073347543</v>
      </c>
      <c r="G16" s="668">
        <f t="shared" ca="1" si="0"/>
        <v>32696.731394595568</v>
      </c>
      <c r="H16" s="668">
        <f t="shared" si="0"/>
        <v>0</v>
      </c>
      <c r="I16" s="668">
        <f t="shared" si="0"/>
        <v>0</v>
      </c>
      <c r="J16" s="668">
        <f t="shared" si="0"/>
        <v>0</v>
      </c>
      <c r="K16" s="668">
        <f t="shared" si="0"/>
        <v>669.44518734415499</v>
      </c>
      <c r="L16" s="668">
        <f t="shared" si="0"/>
        <v>0</v>
      </c>
      <c r="M16" s="668">
        <f t="shared" ca="1" si="0"/>
        <v>0</v>
      </c>
      <c r="N16" s="668">
        <f t="shared" si="0"/>
        <v>0</v>
      </c>
      <c r="O16" s="668">
        <f t="shared" ca="1" si="0"/>
        <v>7927.2178868445535</v>
      </c>
      <c r="P16" s="668">
        <f t="shared" si="0"/>
        <v>170.40333333333334</v>
      </c>
      <c r="Q16" s="668">
        <f t="shared" si="0"/>
        <v>114.4</v>
      </c>
      <c r="R16" s="668">
        <f t="shared" ca="1" si="0"/>
        <v>200800.83099159927</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7.2120803993095874</v>
      </c>
      <c r="D19" s="635">
        <f>transport!C54</f>
        <v>0</v>
      </c>
      <c r="E19" s="635">
        <f>transport!D54</f>
        <v>0</v>
      </c>
      <c r="F19" s="635">
        <f>transport!E54</f>
        <v>0</v>
      </c>
      <c r="G19" s="635">
        <f>transport!F54</f>
        <v>0</v>
      </c>
      <c r="H19" s="635">
        <f>transport!G54</f>
        <v>1564.5884343645662</v>
      </c>
      <c r="I19" s="635">
        <f>transport!H54</f>
        <v>0</v>
      </c>
      <c r="J19" s="635">
        <f>transport!I54</f>
        <v>0</v>
      </c>
      <c r="K19" s="635">
        <f>transport!J54</f>
        <v>0</v>
      </c>
      <c r="L19" s="635">
        <f>transport!K54</f>
        <v>0</v>
      </c>
      <c r="M19" s="635">
        <f>transport!L54</f>
        <v>0</v>
      </c>
      <c r="N19" s="635">
        <f>transport!M54</f>
        <v>66.989666785688428</v>
      </c>
      <c r="O19" s="635">
        <f>transport!N54</f>
        <v>0</v>
      </c>
      <c r="P19" s="635">
        <f>transport!O54</f>
        <v>0</v>
      </c>
      <c r="Q19" s="636">
        <f>transport!P54</f>
        <v>0</v>
      </c>
      <c r="R19" s="638">
        <f>SUM(C19:Q19)</f>
        <v>1638.7901815495643</v>
      </c>
      <c r="S19" s="67"/>
    </row>
    <row r="20" spans="1:19" s="441" customFormat="1">
      <c r="A20" s="749" t="s">
        <v>296</v>
      </c>
      <c r="B20" s="754"/>
      <c r="C20" s="635">
        <f>transport!B14</f>
        <v>1.4993656932595685</v>
      </c>
      <c r="D20" s="635">
        <f>transport!C14</f>
        <v>0</v>
      </c>
      <c r="E20" s="635">
        <f>transport!D14</f>
        <v>4.5664752979625662</v>
      </c>
      <c r="F20" s="635">
        <f>transport!E14</f>
        <v>538.06980484973781</v>
      </c>
      <c r="G20" s="635">
        <f>transport!F14</f>
        <v>0</v>
      </c>
      <c r="H20" s="635">
        <f>transport!G14</f>
        <v>133647.72281394582</v>
      </c>
      <c r="I20" s="635">
        <f>transport!H14</f>
        <v>16391.794974377583</v>
      </c>
      <c r="J20" s="635">
        <f>transport!I14</f>
        <v>0</v>
      </c>
      <c r="K20" s="635">
        <f>transport!J14</f>
        <v>0</v>
      </c>
      <c r="L20" s="635">
        <f>transport!K14</f>
        <v>0</v>
      </c>
      <c r="M20" s="635">
        <f>transport!L14</f>
        <v>0</v>
      </c>
      <c r="N20" s="635">
        <f>transport!M14</f>
        <v>6511.8670106394457</v>
      </c>
      <c r="O20" s="635">
        <f>transport!N14</f>
        <v>0</v>
      </c>
      <c r="P20" s="635">
        <f>transport!O14</f>
        <v>0</v>
      </c>
      <c r="Q20" s="636">
        <f>transport!P14</f>
        <v>0</v>
      </c>
      <c r="R20" s="638">
        <f>SUM(C20:Q20)</f>
        <v>157095.52044480381</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8.7114460925691564</v>
      </c>
      <c r="D22" s="752">
        <f t="shared" ref="D22:R22" si="1">SUM(D18:D21)</f>
        <v>0</v>
      </c>
      <c r="E22" s="752">
        <f t="shared" si="1"/>
        <v>4.5664752979625662</v>
      </c>
      <c r="F22" s="752">
        <f t="shared" si="1"/>
        <v>538.06980484973781</v>
      </c>
      <c r="G22" s="752">
        <f t="shared" si="1"/>
        <v>0</v>
      </c>
      <c r="H22" s="752">
        <f t="shared" si="1"/>
        <v>135212.31124831038</v>
      </c>
      <c r="I22" s="752">
        <f t="shared" si="1"/>
        <v>16391.794974377583</v>
      </c>
      <c r="J22" s="752">
        <f t="shared" si="1"/>
        <v>0</v>
      </c>
      <c r="K22" s="752">
        <f t="shared" si="1"/>
        <v>0</v>
      </c>
      <c r="L22" s="752">
        <f t="shared" si="1"/>
        <v>0</v>
      </c>
      <c r="M22" s="752">
        <f t="shared" si="1"/>
        <v>0</v>
      </c>
      <c r="N22" s="752">
        <f t="shared" si="1"/>
        <v>6578.856677425134</v>
      </c>
      <c r="O22" s="752">
        <f t="shared" si="1"/>
        <v>0</v>
      </c>
      <c r="P22" s="752">
        <f t="shared" si="1"/>
        <v>0</v>
      </c>
      <c r="Q22" s="752">
        <f t="shared" si="1"/>
        <v>0</v>
      </c>
      <c r="R22" s="752">
        <f t="shared" si="1"/>
        <v>158734.31062635337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2179.348931510669</v>
      </c>
      <c r="D24" s="635">
        <f>+landbouw!C8</f>
        <v>2673</v>
      </c>
      <c r="E24" s="635">
        <f>+landbouw!D8</f>
        <v>251.75458546380807</v>
      </c>
      <c r="F24" s="635">
        <f>+landbouw!E8</f>
        <v>19.638699222972836</v>
      </c>
      <c r="G24" s="635">
        <f>+landbouw!F8</f>
        <v>6681.0869143118862</v>
      </c>
      <c r="H24" s="635">
        <f>+landbouw!G8</f>
        <v>0</v>
      </c>
      <c r="I24" s="635">
        <f>+landbouw!H8</f>
        <v>0</v>
      </c>
      <c r="J24" s="635">
        <f>+landbouw!I8</f>
        <v>0</v>
      </c>
      <c r="K24" s="635">
        <f>+landbouw!J8</f>
        <v>220.54109833338637</v>
      </c>
      <c r="L24" s="635">
        <f>+landbouw!K8</f>
        <v>0</v>
      </c>
      <c r="M24" s="635">
        <f>+landbouw!L8</f>
        <v>0</v>
      </c>
      <c r="N24" s="635">
        <f>+landbouw!M8</f>
        <v>0</v>
      </c>
      <c r="O24" s="635">
        <f>+landbouw!N8</f>
        <v>0</v>
      </c>
      <c r="P24" s="635">
        <f>+landbouw!O8</f>
        <v>0</v>
      </c>
      <c r="Q24" s="636">
        <f>+landbouw!P8</f>
        <v>0</v>
      </c>
      <c r="R24" s="638">
        <f>SUM(C24:Q24)</f>
        <v>12025.370228842723</v>
      </c>
      <c r="S24" s="67"/>
    </row>
    <row r="25" spans="1:19" s="441" customFormat="1" ht="15" thickBot="1">
      <c r="A25" s="771" t="s">
        <v>864</v>
      </c>
      <c r="B25" s="923"/>
      <c r="C25" s="924">
        <f>IF(Onbekend_ele_kWh="---",0,Onbekend_ele_kWh)/1000+IF(REST_rest_ele_kWh="---",0,REST_rest_ele_kWh)/1000</f>
        <v>1464.36266442485</v>
      </c>
      <c r="D25" s="924"/>
      <c r="E25" s="924">
        <f>IF(onbekend_gas_kWh="---",0,onbekend_gas_kWh)/1000+IF(REST_rest_gas_kWh="---",0,REST_rest_gas_kWh)/1000</f>
        <v>2821.22463758087</v>
      </c>
      <c r="F25" s="924"/>
      <c r="G25" s="924"/>
      <c r="H25" s="924"/>
      <c r="I25" s="924"/>
      <c r="J25" s="924"/>
      <c r="K25" s="924"/>
      <c r="L25" s="924"/>
      <c r="M25" s="924"/>
      <c r="N25" s="924"/>
      <c r="O25" s="924"/>
      <c r="P25" s="924"/>
      <c r="Q25" s="925"/>
      <c r="R25" s="638">
        <f>SUM(C25:Q25)</f>
        <v>4285.5873020057197</v>
      </c>
      <c r="S25" s="67"/>
    </row>
    <row r="26" spans="1:19" s="441" customFormat="1" ht="15.75" thickBot="1">
      <c r="A26" s="641" t="s">
        <v>865</v>
      </c>
      <c r="B26" s="757"/>
      <c r="C26" s="752">
        <f>SUM(C24:C25)</f>
        <v>3643.7115959355187</v>
      </c>
      <c r="D26" s="752">
        <f t="shared" ref="D26:R26" si="2">SUM(D24:D25)</f>
        <v>2673</v>
      </c>
      <c r="E26" s="752">
        <f t="shared" si="2"/>
        <v>3072.9792230446778</v>
      </c>
      <c r="F26" s="752">
        <f t="shared" si="2"/>
        <v>19.638699222972836</v>
      </c>
      <c r="G26" s="752">
        <f t="shared" si="2"/>
        <v>6681.0869143118862</v>
      </c>
      <c r="H26" s="752">
        <f t="shared" si="2"/>
        <v>0</v>
      </c>
      <c r="I26" s="752">
        <f t="shared" si="2"/>
        <v>0</v>
      </c>
      <c r="J26" s="752">
        <f t="shared" si="2"/>
        <v>0</v>
      </c>
      <c r="K26" s="752">
        <f t="shared" si="2"/>
        <v>220.54109833338637</v>
      </c>
      <c r="L26" s="752">
        <f t="shared" si="2"/>
        <v>0</v>
      </c>
      <c r="M26" s="752">
        <f t="shared" si="2"/>
        <v>0</v>
      </c>
      <c r="N26" s="752">
        <f t="shared" si="2"/>
        <v>0</v>
      </c>
      <c r="O26" s="752">
        <f t="shared" si="2"/>
        <v>0</v>
      </c>
      <c r="P26" s="752">
        <f t="shared" si="2"/>
        <v>0</v>
      </c>
      <c r="Q26" s="752">
        <f t="shared" si="2"/>
        <v>0</v>
      </c>
      <c r="R26" s="752">
        <f t="shared" si="2"/>
        <v>16310.957530848442</v>
      </c>
      <c r="S26" s="67"/>
    </row>
    <row r="27" spans="1:19" s="441" customFormat="1" ht="17.25" thickTop="1" thickBot="1">
      <c r="A27" s="642" t="s">
        <v>109</v>
      </c>
      <c r="B27" s="744"/>
      <c r="C27" s="643">
        <f ca="1">C22+C16+C26</f>
        <v>61218.491765846418</v>
      </c>
      <c r="D27" s="643">
        <f t="shared" ref="D27:R27" ca="1" si="3">D22+D16+D26</f>
        <v>2673</v>
      </c>
      <c r="E27" s="643">
        <f t="shared" ca="1" si="3"/>
        <v>103541.94505667123</v>
      </c>
      <c r="F27" s="643">
        <f t="shared" si="3"/>
        <v>1749.8736114074652</v>
      </c>
      <c r="G27" s="643">
        <f t="shared" ca="1" si="3"/>
        <v>39377.818308907452</v>
      </c>
      <c r="H27" s="643">
        <f t="shared" si="3"/>
        <v>135212.31124831038</v>
      </c>
      <c r="I27" s="643">
        <f t="shared" si="3"/>
        <v>16391.794974377583</v>
      </c>
      <c r="J27" s="643">
        <f t="shared" si="3"/>
        <v>0</v>
      </c>
      <c r="K27" s="643">
        <f t="shared" si="3"/>
        <v>889.98628567754133</v>
      </c>
      <c r="L27" s="643">
        <f t="shared" si="3"/>
        <v>0</v>
      </c>
      <c r="M27" s="643">
        <f t="shared" ca="1" si="3"/>
        <v>0</v>
      </c>
      <c r="N27" s="643">
        <f t="shared" si="3"/>
        <v>6578.856677425134</v>
      </c>
      <c r="O27" s="643">
        <f t="shared" ca="1" si="3"/>
        <v>7927.2178868445535</v>
      </c>
      <c r="P27" s="643">
        <f t="shared" si="3"/>
        <v>170.40333333333334</v>
      </c>
      <c r="Q27" s="643">
        <f t="shared" si="3"/>
        <v>114.4</v>
      </c>
      <c r="R27" s="643">
        <f t="shared" ca="1" si="3"/>
        <v>375846.09914880106</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2639.8175692022969</v>
      </c>
      <c r="D40" s="635">
        <f ca="1">tertiair!C20</f>
        <v>0</v>
      </c>
      <c r="E40" s="635">
        <f ca="1">tertiair!D20</f>
        <v>3236.1898138294914</v>
      </c>
      <c r="F40" s="635">
        <f>tertiair!E20</f>
        <v>64.483119171606219</v>
      </c>
      <c r="G40" s="635">
        <f ca="1">tertiair!F20</f>
        <v>724.8969340328058</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6665.3874362362012</v>
      </c>
    </row>
    <row r="41" spans="1:18">
      <c r="A41" s="762" t="s">
        <v>214</v>
      </c>
      <c r="B41" s="769"/>
      <c r="C41" s="635">
        <f ca="1">huishoudens!B12</f>
        <v>5462.7498197446994</v>
      </c>
      <c r="D41" s="635">
        <f ca="1">huishoudens!C12</f>
        <v>0</v>
      </c>
      <c r="E41" s="635">
        <f>huishoudens!D12</f>
        <v>15241.86715293276</v>
      </c>
      <c r="F41" s="635">
        <f>huishoudens!E12</f>
        <v>182.64071550548692</v>
      </c>
      <c r="G41" s="635">
        <f>huishoudens!F12</f>
        <v>7332.8908738466844</v>
      </c>
      <c r="H41" s="635">
        <f>huishoudens!G12</f>
        <v>0</v>
      </c>
      <c r="I41" s="635">
        <f>huishoudens!H12</f>
        <v>0</v>
      </c>
      <c r="J41" s="635">
        <f>huishoudens!I12</f>
        <v>0</v>
      </c>
      <c r="K41" s="635">
        <f>huishoudens!J12</f>
        <v>218.92064220656312</v>
      </c>
      <c r="L41" s="635">
        <f>huishoudens!K12</f>
        <v>0</v>
      </c>
      <c r="M41" s="635">
        <f>huishoudens!L12</f>
        <v>0</v>
      </c>
      <c r="N41" s="635">
        <f>huishoudens!M12</f>
        <v>0</v>
      </c>
      <c r="O41" s="635">
        <f>huishoudens!N12</f>
        <v>0</v>
      </c>
      <c r="P41" s="635">
        <f>huishoudens!O12</f>
        <v>0</v>
      </c>
      <c r="Q41" s="710">
        <f>huishoudens!P12</f>
        <v>0</v>
      </c>
      <c r="R41" s="790">
        <f t="shared" ca="1" si="4"/>
        <v>28439.069204236195</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1778.5017144038686</v>
      </c>
      <c r="D43" s="635">
        <f ca="1">industrie!C22</f>
        <v>0</v>
      </c>
      <c r="E43" s="635">
        <f>industrie!D22</f>
        <v>1815.7517036201241</v>
      </c>
      <c r="F43" s="635">
        <f>industrie!E22</f>
        <v>23.497644687896091</v>
      </c>
      <c r="G43" s="635">
        <f>industrie!F22</f>
        <v>672.23947447752687</v>
      </c>
      <c r="H43" s="635">
        <f>industrie!G22</f>
        <v>0</v>
      </c>
      <c r="I43" s="635">
        <f>industrie!H22</f>
        <v>0</v>
      </c>
      <c r="J43" s="635">
        <f>industrie!I22</f>
        <v>0</v>
      </c>
      <c r="K43" s="635">
        <f>industrie!J22</f>
        <v>18.062954113267736</v>
      </c>
      <c r="L43" s="635">
        <f>industrie!K22</f>
        <v>0</v>
      </c>
      <c r="M43" s="635">
        <f>industrie!L22</f>
        <v>0</v>
      </c>
      <c r="N43" s="635">
        <f>industrie!M22</f>
        <v>0</v>
      </c>
      <c r="O43" s="635">
        <f>industrie!N22</f>
        <v>0</v>
      </c>
      <c r="P43" s="635">
        <f>industrie!O22</f>
        <v>0</v>
      </c>
      <c r="Q43" s="710">
        <f>industrie!P22</f>
        <v>0</v>
      </c>
      <c r="R43" s="789">
        <f t="shared" ca="1" si="4"/>
        <v>4308.0534913026831</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9881.0691033508647</v>
      </c>
      <c r="D46" s="668">
        <f t="shared" ref="D46:Q46" ca="1" si="5">SUM(D39:D45)</f>
        <v>0</v>
      </c>
      <c r="E46" s="668">
        <f t="shared" ca="1" si="5"/>
        <v>20293.808670382376</v>
      </c>
      <c r="F46" s="668">
        <f t="shared" si="5"/>
        <v>270.62147936498923</v>
      </c>
      <c r="G46" s="668">
        <f t="shared" ca="1" si="5"/>
        <v>8730.0272823570176</v>
      </c>
      <c r="H46" s="668">
        <f t="shared" si="5"/>
        <v>0</v>
      </c>
      <c r="I46" s="668">
        <f t="shared" si="5"/>
        <v>0</v>
      </c>
      <c r="J46" s="668">
        <f t="shared" si="5"/>
        <v>0</v>
      </c>
      <c r="K46" s="668">
        <f t="shared" si="5"/>
        <v>236.98359631983084</v>
      </c>
      <c r="L46" s="668">
        <f t="shared" si="5"/>
        <v>0</v>
      </c>
      <c r="M46" s="668">
        <f t="shared" ca="1" si="5"/>
        <v>0</v>
      </c>
      <c r="N46" s="668">
        <f t="shared" si="5"/>
        <v>0</v>
      </c>
      <c r="O46" s="668">
        <f t="shared" ca="1" si="5"/>
        <v>0</v>
      </c>
      <c r="P46" s="668">
        <f t="shared" si="5"/>
        <v>0</v>
      </c>
      <c r="Q46" s="668">
        <f t="shared" si="5"/>
        <v>0</v>
      </c>
      <c r="R46" s="668">
        <f ca="1">SUM(R39:R45)</f>
        <v>39412.510131775081</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1.2379352348411239</v>
      </c>
      <c r="D49" s="635">
        <f ca="1">transport!C58</f>
        <v>0</v>
      </c>
      <c r="E49" s="635">
        <f>transport!D58</f>
        <v>0</v>
      </c>
      <c r="F49" s="635">
        <f>transport!E58</f>
        <v>0</v>
      </c>
      <c r="G49" s="635">
        <f>transport!F58</f>
        <v>0</v>
      </c>
      <c r="H49" s="635">
        <f>transport!G58</f>
        <v>417.74511197533917</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418.9830472101803</v>
      </c>
    </row>
    <row r="50" spans="1:18">
      <c r="A50" s="765" t="s">
        <v>296</v>
      </c>
      <c r="B50" s="775"/>
      <c r="C50" s="930">
        <f ca="1">transport!B18</f>
        <v>0.2573623030846543</v>
      </c>
      <c r="D50" s="930">
        <f>transport!C18</f>
        <v>0</v>
      </c>
      <c r="E50" s="930">
        <f>transport!D18</f>
        <v>0.92242801018843845</v>
      </c>
      <c r="F50" s="930">
        <f>transport!E18</f>
        <v>122.14184570089049</v>
      </c>
      <c r="G50" s="930">
        <f>transport!F18</f>
        <v>0</v>
      </c>
      <c r="H50" s="930">
        <f>transport!G18</f>
        <v>35683.941991323532</v>
      </c>
      <c r="I50" s="930">
        <f>transport!H18</f>
        <v>4081.5569486200179</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39888.820575957718</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1.4952975379257782</v>
      </c>
      <c r="D52" s="668">
        <f t="shared" ref="D52:Q52" ca="1" si="6">SUM(D48:D51)</f>
        <v>0</v>
      </c>
      <c r="E52" s="668">
        <f t="shared" si="6"/>
        <v>0.92242801018843845</v>
      </c>
      <c r="F52" s="668">
        <f t="shared" si="6"/>
        <v>122.14184570089049</v>
      </c>
      <c r="G52" s="668">
        <f t="shared" si="6"/>
        <v>0</v>
      </c>
      <c r="H52" s="668">
        <f t="shared" si="6"/>
        <v>36101.687103298871</v>
      </c>
      <c r="I52" s="668">
        <f t="shared" si="6"/>
        <v>4081.5569486200179</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40307.8036231679</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374.0796943401632</v>
      </c>
      <c r="D54" s="930">
        <f ca="1">+landbouw!C12</f>
        <v>209.90911764705879</v>
      </c>
      <c r="E54" s="930">
        <f>+landbouw!D12</f>
        <v>50.854426263689234</v>
      </c>
      <c r="F54" s="930">
        <f>+landbouw!E12</f>
        <v>4.4579847236148336</v>
      </c>
      <c r="G54" s="930">
        <f>+landbouw!F12</f>
        <v>1783.8502061212737</v>
      </c>
      <c r="H54" s="930">
        <f>+landbouw!G12</f>
        <v>0</v>
      </c>
      <c r="I54" s="930">
        <f>+landbouw!H12</f>
        <v>0</v>
      </c>
      <c r="J54" s="930">
        <f>+landbouw!I12</f>
        <v>0</v>
      </c>
      <c r="K54" s="930">
        <f>+landbouw!J12</f>
        <v>78.071548810018768</v>
      </c>
      <c r="L54" s="930">
        <f>+landbouw!K12</f>
        <v>0</v>
      </c>
      <c r="M54" s="930">
        <f>+landbouw!L12</f>
        <v>0</v>
      </c>
      <c r="N54" s="930">
        <f>+landbouw!M12</f>
        <v>0</v>
      </c>
      <c r="O54" s="930">
        <f>+landbouw!N12</f>
        <v>0</v>
      </c>
      <c r="P54" s="930">
        <f>+landbouw!O12</f>
        <v>0</v>
      </c>
      <c r="Q54" s="931">
        <f>+landbouw!P12</f>
        <v>0</v>
      </c>
      <c r="R54" s="667">
        <f ca="1">SUM(C54:Q54)</f>
        <v>2501.2229779058184</v>
      </c>
    </row>
    <row r="55" spans="1:18" ht="15" thickBot="1">
      <c r="A55" s="765" t="s">
        <v>864</v>
      </c>
      <c r="B55" s="775"/>
      <c r="C55" s="930">
        <f ca="1">C25*'EF ele_warmte'!B12</f>
        <v>251.35412232105574</v>
      </c>
      <c r="D55" s="930"/>
      <c r="E55" s="930">
        <f>E25*EF_CO2_aardgas</f>
        <v>569.88737679133578</v>
      </c>
      <c r="F55" s="930"/>
      <c r="G55" s="930"/>
      <c r="H55" s="930"/>
      <c r="I55" s="930"/>
      <c r="J55" s="930"/>
      <c r="K55" s="930"/>
      <c r="L55" s="930"/>
      <c r="M55" s="930"/>
      <c r="N55" s="930"/>
      <c r="O55" s="930"/>
      <c r="P55" s="930"/>
      <c r="Q55" s="931"/>
      <c r="R55" s="667">
        <f ca="1">SUM(C55:Q55)</f>
        <v>821.24149911239147</v>
      </c>
    </row>
    <row r="56" spans="1:18" ht="15.75" thickBot="1">
      <c r="A56" s="763" t="s">
        <v>865</v>
      </c>
      <c r="B56" s="776"/>
      <c r="C56" s="668">
        <f ca="1">SUM(C54:C55)</f>
        <v>625.433816661219</v>
      </c>
      <c r="D56" s="668">
        <f t="shared" ref="D56:Q56" ca="1" si="7">SUM(D54:D55)</f>
        <v>209.90911764705879</v>
      </c>
      <c r="E56" s="668">
        <f t="shared" si="7"/>
        <v>620.741803055025</v>
      </c>
      <c r="F56" s="668">
        <f t="shared" si="7"/>
        <v>4.4579847236148336</v>
      </c>
      <c r="G56" s="668">
        <f t="shared" si="7"/>
        <v>1783.8502061212737</v>
      </c>
      <c r="H56" s="668">
        <f t="shared" si="7"/>
        <v>0</v>
      </c>
      <c r="I56" s="668">
        <f t="shared" si="7"/>
        <v>0</v>
      </c>
      <c r="J56" s="668">
        <f t="shared" si="7"/>
        <v>0</v>
      </c>
      <c r="K56" s="668">
        <f t="shared" si="7"/>
        <v>78.071548810018768</v>
      </c>
      <c r="L56" s="668">
        <f t="shared" si="7"/>
        <v>0</v>
      </c>
      <c r="M56" s="668">
        <f t="shared" si="7"/>
        <v>0</v>
      </c>
      <c r="N56" s="668">
        <f t="shared" si="7"/>
        <v>0</v>
      </c>
      <c r="O56" s="668">
        <f t="shared" si="7"/>
        <v>0</v>
      </c>
      <c r="P56" s="668">
        <f t="shared" si="7"/>
        <v>0</v>
      </c>
      <c r="Q56" s="669">
        <f t="shared" si="7"/>
        <v>0</v>
      </c>
      <c r="R56" s="670">
        <f ca="1">SUM(R54:R55)</f>
        <v>3322.4644770182099</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10507.99821755001</v>
      </c>
      <c r="D61" s="676">
        <f t="shared" ref="D61:Q61" ca="1" si="8">D46+D52+D56</f>
        <v>209.90911764705879</v>
      </c>
      <c r="E61" s="676">
        <f t="shared" ca="1" si="8"/>
        <v>20915.472901447589</v>
      </c>
      <c r="F61" s="676">
        <f t="shared" si="8"/>
        <v>397.22130978949457</v>
      </c>
      <c r="G61" s="676">
        <f t="shared" ca="1" si="8"/>
        <v>10513.877488478291</v>
      </c>
      <c r="H61" s="676">
        <f t="shared" si="8"/>
        <v>36101.687103298871</v>
      </c>
      <c r="I61" s="676">
        <f t="shared" si="8"/>
        <v>4081.5569486200179</v>
      </c>
      <c r="J61" s="676">
        <f t="shared" si="8"/>
        <v>0</v>
      </c>
      <c r="K61" s="676">
        <f t="shared" si="8"/>
        <v>315.05514512984962</v>
      </c>
      <c r="L61" s="676">
        <f t="shared" si="8"/>
        <v>0</v>
      </c>
      <c r="M61" s="676">
        <f t="shared" ca="1" si="8"/>
        <v>0</v>
      </c>
      <c r="N61" s="676">
        <f t="shared" si="8"/>
        <v>0</v>
      </c>
      <c r="O61" s="676">
        <f t="shared" ca="1" si="8"/>
        <v>0</v>
      </c>
      <c r="P61" s="676">
        <f t="shared" si="8"/>
        <v>0</v>
      </c>
      <c r="Q61" s="676">
        <f t="shared" si="8"/>
        <v>0</v>
      </c>
      <c r="R61" s="676">
        <f ca="1">R46+R52+R56</f>
        <v>83042.778231961187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0.17164745348091678</v>
      </c>
      <c r="D63" s="720">
        <f t="shared" ca="1" si="9"/>
        <v>7.8529411764705875E-2</v>
      </c>
      <c r="E63" s="932">
        <f t="shared" ca="1" si="9"/>
        <v>0.20199999999999999</v>
      </c>
      <c r="F63" s="720">
        <f t="shared" si="9"/>
        <v>0.22699999999999998</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9911.2119547937709</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2228.0565748668282</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1782</v>
      </c>
      <c r="C76" s="686">
        <f>'lokale energieproductie'!B8*IFERROR(SUM(D76:H76)/SUM(D76:O76),0)</f>
        <v>594</v>
      </c>
      <c r="D76" s="942">
        <f>'lokale energieproductie'!C8</f>
        <v>0</v>
      </c>
      <c r="E76" s="943">
        <f>'lokale energieproductie'!D8</f>
        <v>0</v>
      </c>
      <c r="F76" s="943">
        <f>'lokale energieproductie'!E8</f>
        <v>698.82352941176475</v>
      </c>
      <c r="G76" s="943">
        <f>'lokale energieproductie'!F8</f>
        <v>0</v>
      </c>
      <c r="H76" s="943">
        <f>'lokale energieproductie'!G8</f>
        <v>0</v>
      </c>
      <c r="I76" s="943">
        <f>'lokale energieproductie'!I8</f>
        <v>2096.4705882352941</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186.58588235294121</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13921.2685296606</v>
      </c>
      <c r="C78" s="691">
        <f>SUM(C72:C77)</f>
        <v>594</v>
      </c>
      <c r="D78" s="692">
        <f t="shared" ref="D78:H78" si="10">SUM(D76:D77)</f>
        <v>0</v>
      </c>
      <c r="E78" s="692">
        <f t="shared" si="10"/>
        <v>0</v>
      </c>
      <c r="F78" s="692">
        <f t="shared" si="10"/>
        <v>698.82352941176475</v>
      </c>
      <c r="G78" s="692">
        <f t="shared" si="10"/>
        <v>0</v>
      </c>
      <c r="H78" s="692">
        <f t="shared" si="10"/>
        <v>0</v>
      </c>
      <c r="I78" s="692">
        <f>SUM(I76:I77)</f>
        <v>2096.4705882352941</v>
      </c>
      <c r="J78" s="692">
        <f>SUM(J76:J77)</f>
        <v>0</v>
      </c>
      <c r="K78" s="692">
        <f t="shared" ref="K78:L78" si="11">SUM(K76:K77)</f>
        <v>0</v>
      </c>
      <c r="L78" s="692">
        <f t="shared" si="11"/>
        <v>0</v>
      </c>
      <c r="M78" s="692">
        <f>SUM(M76:M77)</f>
        <v>0</v>
      </c>
      <c r="N78" s="692">
        <f>SUM(N76:N77)</f>
        <v>0</v>
      </c>
      <c r="O78" s="800">
        <f>SUM(O76:O77)</f>
        <v>0</v>
      </c>
      <c r="P78" s="693">
        <v>0</v>
      </c>
      <c r="Q78" s="693">
        <f>SUM(Q76:Q77)</f>
        <v>186.58588235294121</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2004.75</v>
      </c>
      <c r="C87" s="702">
        <f>'lokale energieproductie'!B17*IFERROR(SUM(D87:H87)/SUM(D87:O87),0)</f>
        <v>668.25</v>
      </c>
      <c r="D87" s="713">
        <f>'lokale energieproductie'!C17</f>
        <v>0</v>
      </c>
      <c r="E87" s="713">
        <f>'lokale energieproductie'!D17</f>
        <v>0</v>
      </c>
      <c r="F87" s="713">
        <f>'lokale energieproductie'!E17</f>
        <v>786.17647058823525</v>
      </c>
      <c r="G87" s="713">
        <f>'lokale energieproductie'!F17</f>
        <v>0</v>
      </c>
      <c r="H87" s="713">
        <f>'lokale energieproductie'!G17</f>
        <v>0</v>
      </c>
      <c r="I87" s="713">
        <f>'lokale energieproductie'!I17</f>
        <v>2358.5294117647059</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209.90911764705882</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2004.75</v>
      </c>
      <c r="C90" s="691">
        <f>SUM(C87:C89)</f>
        <v>668.25</v>
      </c>
      <c r="D90" s="691">
        <f t="shared" ref="D90:H90" si="12">SUM(D87:D89)</f>
        <v>0</v>
      </c>
      <c r="E90" s="691">
        <f t="shared" si="12"/>
        <v>0</v>
      </c>
      <c r="F90" s="691">
        <f t="shared" si="12"/>
        <v>786.17647058823525</v>
      </c>
      <c r="G90" s="691">
        <f t="shared" si="12"/>
        <v>0</v>
      </c>
      <c r="H90" s="691">
        <f t="shared" si="12"/>
        <v>0</v>
      </c>
      <c r="I90" s="691">
        <f>SUM(I87:I89)</f>
        <v>2358.5294117647059</v>
      </c>
      <c r="J90" s="691">
        <f>SUM(J87:J89)</f>
        <v>0</v>
      </c>
      <c r="K90" s="691">
        <f t="shared" ref="K90:L90" si="13">SUM(K87:K89)</f>
        <v>0</v>
      </c>
      <c r="L90" s="691">
        <f t="shared" si="13"/>
        <v>0</v>
      </c>
      <c r="M90" s="691">
        <f>SUM(M87:M89)</f>
        <v>0</v>
      </c>
      <c r="N90" s="691">
        <f>SUM(N87:N89)</f>
        <v>0</v>
      </c>
      <c r="O90" s="691">
        <f>SUM(O87:O89)</f>
        <v>0</v>
      </c>
      <c r="P90" s="691">
        <v>0</v>
      </c>
      <c r="Q90" s="691">
        <f>SUM(Q87:Q89)</f>
        <v>209.90911764705882</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31825.405556348855</v>
      </c>
      <c r="C4" s="445">
        <f>huishoudens!C8</f>
        <v>0</v>
      </c>
      <c r="D4" s="445">
        <f>huishoudens!D8</f>
        <v>75454.787885805737</v>
      </c>
      <c r="E4" s="445">
        <f>huishoudens!E8</f>
        <v>804.58464980390715</v>
      </c>
      <c r="F4" s="445">
        <f>huishoudens!F8</f>
        <v>27464.010763470727</v>
      </c>
      <c r="G4" s="445">
        <f>huishoudens!G8</f>
        <v>0</v>
      </c>
      <c r="H4" s="445">
        <f>huishoudens!H8</f>
        <v>0</v>
      </c>
      <c r="I4" s="445">
        <f>huishoudens!I8</f>
        <v>0</v>
      </c>
      <c r="J4" s="445">
        <f>huishoudens!J8</f>
        <v>618.4198932388789</v>
      </c>
      <c r="K4" s="445">
        <f>huishoudens!K8</f>
        <v>0</v>
      </c>
      <c r="L4" s="445">
        <f>huishoudens!L8</f>
        <v>0</v>
      </c>
      <c r="M4" s="445">
        <f>huishoudens!M8</f>
        <v>0</v>
      </c>
      <c r="N4" s="445">
        <f>huishoudens!N8</f>
        <v>7471.2933492302718</v>
      </c>
      <c r="O4" s="445">
        <f>huishoudens!O8</f>
        <v>168.84</v>
      </c>
      <c r="P4" s="446">
        <f>huishoudens!P8</f>
        <v>114.4</v>
      </c>
      <c r="Q4" s="447">
        <f>SUM(B4:P4)</f>
        <v>143921.74209789836</v>
      </c>
    </row>
    <row r="5" spans="1:17">
      <c r="A5" s="444" t="s">
        <v>149</v>
      </c>
      <c r="B5" s="445">
        <f ca="1">tertiair!B16</f>
        <v>14257.76434681952</v>
      </c>
      <c r="C5" s="445">
        <f ca="1">tertiair!C16</f>
        <v>0</v>
      </c>
      <c r="D5" s="445">
        <f ca="1">tertiair!D16</f>
        <v>16020.741652621244</v>
      </c>
      <c r="E5" s="445">
        <f>tertiair!E16</f>
        <v>284.06660428020359</v>
      </c>
      <c r="F5" s="445">
        <f ca="1">tertiair!F16</f>
        <v>2714.9697903850401</v>
      </c>
      <c r="G5" s="445">
        <f>tertiair!G16</f>
        <v>0</v>
      </c>
      <c r="H5" s="445">
        <f>tertiair!H16</f>
        <v>0</v>
      </c>
      <c r="I5" s="445">
        <f>tertiair!I16</f>
        <v>0</v>
      </c>
      <c r="J5" s="445">
        <f>tertiair!J16</f>
        <v>0</v>
      </c>
      <c r="K5" s="445">
        <f>tertiair!K16</f>
        <v>0</v>
      </c>
      <c r="L5" s="445">
        <f ca="1">tertiair!L16</f>
        <v>0</v>
      </c>
      <c r="M5" s="445">
        <f>tertiair!M16</f>
        <v>0</v>
      </c>
      <c r="N5" s="445">
        <f ca="1">tertiair!N16</f>
        <v>227.29392005238941</v>
      </c>
      <c r="O5" s="445">
        <f>tertiair!O16</f>
        <v>1.5633333333333335</v>
      </c>
      <c r="P5" s="446">
        <f>tertiair!P16</f>
        <v>0</v>
      </c>
      <c r="Q5" s="444">
        <f t="shared" ref="Q5:Q14" ca="1" si="0">SUM(B5:P5)</f>
        <v>33506.399647491729</v>
      </c>
    </row>
    <row r="6" spans="1:17">
      <c r="A6" s="444" t="s">
        <v>187</v>
      </c>
      <c r="B6" s="445">
        <f>'openbare verlichting'!B8</f>
        <v>1121.5350000000001</v>
      </c>
      <c r="C6" s="445"/>
      <c r="D6" s="445"/>
      <c r="E6" s="445"/>
      <c r="F6" s="445"/>
      <c r="G6" s="445"/>
      <c r="H6" s="445"/>
      <c r="I6" s="445"/>
      <c r="J6" s="445"/>
      <c r="K6" s="445"/>
      <c r="L6" s="445"/>
      <c r="M6" s="445"/>
      <c r="N6" s="445"/>
      <c r="O6" s="445"/>
      <c r="P6" s="446"/>
      <c r="Q6" s="444">
        <f t="shared" si="0"/>
        <v>1121.5350000000001</v>
      </c>
    </row>
    <row r="7" spans="1:17">
      <c r="A7" s="444" t="s">
        <v>105</v>
      </c>
      <c r="B7" s="445">
        <f>landbouw!B8</f>
        <v>2179.348931510669</v>
      </c>
      <c r="C7" s="445">
        <f>landbouw!C8</f>
        <v>2673</v>
      </c>
      <c r="D7" s="445">
        <f>landbouw!D8</f>
        <v>251.75458546380807</v>
      </c>
      <c r="E7" s="445">
        <f>landbouw!E8</f>
        <v>19.638699222972836</v>
      </c>
      <c r="F7" s="445">
        <f>landbouw!F8</f>
        <v>6681.0869143118862</v>
      </c>
      <c r="G7" s="445">
        <f>landbouw!G8</f>
        <v>0</v>
      </c>
      <c r="H7" s="445">
        <f>landbouw!H8</f>
        <v>0</v>
      </c>
      <c r="I7" s="445">
        <f>landbouw!I8</f>
        <v>0</v>
      </c>
      <c r="J7" s="445">
        <f>landbouw!J8</f>
        <v>220.54109833338637</v>
      </c>
      <c r="K7" s="445">
        <f>landbouw!K8</f>
        <v>0</v>
      </c>
      <c r="L7" s="445">
        <f>landbouw!L8</f>
        <v>0</v>
      </c>
      <c r="M7" s="445">
        <f>landbouw!M8</f>
        <v>0</v>
      </c>
      <c r="N7" s="445">
        <f>landbouw!N8</f>
        <v>0</v>
      </c>
      <c r="O7" s="445">
        <f>landbouw!O8</f>
        <v>0</v>
      </c>
      <c r="P7" s="446">
        <f>landbouw!P8</f>
        <v>0</v>
      </c>
      <c r="Q7" s="444">
        <f t="shared" si="0"/>
        <v>12025.370228842723</v>
      </c>
    </row>
    <row r="8" spans="1:17">
      <c r="A8" s="444" t="s">
        <v>613</v>
      </c>
      <c r="B8" s="445">
        <f>industrie!B18</f>
        <v>10361.363820649964</v>
      </c>
      <c r="C8" s="445">
        <f>industrie!C18</f>
        <v>0</v>
      </c>
      <c r="D8" s="445">
        <f>industrie!D18</f>
        <v>8988.8698199016035</v>
      </c>
      <c r="E8" s="445">
        <f>industrie!E18</f>
        <v>103.51385325064356</v>
      </c>
      <c r="F8" s="445">
        <f>industrie!F18</f>
        <v>2517.7508407398009</v>
      </c>
      <c r="G8" s="445">
        <f>industrie!G18</f>
        <v>0</v>
      </c>
      <c r="H8" s="445">
        <f>industrie!H18</f>
        <v>0</v>
      </c>
      <c r="I8" s="445">
        <f>industrie!I18</f>
        <v>0</v>
      </c>
      <c r="J8" s="445">
        <f>industrie!J18</f>
        <v>51.025294105276089</v>
      </c>
      <c r="K8" s="445">
        <f>industrie!K18</f>
        <v>0</v>
      </c>
      <c r="L8" s="445">
        <f>industrie!L18</f>
        <v>0</v>
      </c>
      <c r="M8" s="445">
        <f>industrie!M18</f>
        <v>0</v>
      </c>
      <c r="N8" s="445">
        <f>industrie!N18</f>
        <v>228.63061756189163</v>
      </c>
      <c r="O8" s="445">
        <f>industrie!O18</f>
        <v>0</v>
      </c>
      <c r="P8" s="446">
        <f>industrie!P18</f>
        <v>0</v>
      </c>
      <c r="Q8" s="444">
        <f t="shared" si="0"/>
        <v>22251.154246209178</v>
      </c>
    </row>
    <row r="9" spans="1:17" s="450" customFormat="1">
      <c r="A9" s="448" t="s">
        <v>555</v>
      </c>
      <c r="B9" s="449">
        <f>transport!B14</f>
        <v>1.4993656932595685</v>
      </c>
      <c r="C9" s="449">
        <f>transport!C14</f>
        <v>0</v>
      </c>
      <c r="D9" s="449">
        <f>transport!D14</f>
        <v>4.5664752979625662</v>
      </c>
      <c r="E9" s="449">
        <f>transport!E14</f>
        <v>538.06980484973781</v>
      </c>
      <c r="F9" s="449">
        <f>transport!F14</f>
        <v>0</v>
      </c>
      <c r="G9" s="449">
        <f>transport!G14</f>
        <v>133647.72281394582</v>
      </c>
      <c r="H9" s="449">
        <f>transport!H14</f>
        <v>16391.794974377583</v>
      </c>
      <c r="I9" s="449">
        <f>transport!I14</f>
        <v>0</v>
      </c>
      <c r="J9" s="449">
        <f>transport!J14</f>
        <v>0</v>
      </c>
      <c r="K9" s="449">
        <f>transport!K14</f>
        <v>0</v>
      </c>
      <c r="L9" s="449">
        <f>transport!L14</f>
        <v>0</v>
      </c>
      <c r="M9" s="449">
        <f>transport!M14</f>
        <v>6511.8670106394457</v>
      </c>
      <c r="N9" s="449">
        <f>transport!N14</f>
        <v>0</v>
      </c>
      <c r="O9" s="449">
        <f>transport!O14</f>
        <v>0</v>
      </c>
      <c r="P9" s="449">
        <f>transport!P14</f>
        <v>0</v>
      </c>
      <c r="Q9" s="448">
        <f>SUM(B9:P9)</f>
        <v>157095.52044480381</v>
      </c>
    </row>
    <row r="10" spans="1:17">
      <c r="A10" s="444" t="s">
        <v>545</v>
      </c>
      <c r="B10" s="445">
        <f>transport!B54</f>
        <v>7.2120803993095874</v>
      </c>
      <c r="C10" s="445">
        <f>transport!C54</f>
        <v>0</v>
      </c>
      <c r="D10" s="445">
        <f>transport!D54</f>
        <v>0</v>
      </c>
      <c r="E10" s="445">
        <f>transport!E54</f>
        <v>0</v>
      </c>
      <c r="F10" s="445">
        <f>transport!F54</f>
        <v>0</v>
      </c>
      <c r="G10" s="445">
        <f>transport!G54</f>
        <v>1564.5884343645662</v>
      </c>
      <c r="H10" s="445">
        <f>transport!H54</f>
        <v>0</v>
      </c>
      <c r="I10" s="445">
        <f>transport!I54</f>
        <v>0</v>
      </c>
      <c r="J10" s="445">
        <f>transport!J54</f>
        <v>0</v>
      </c>
      <c r="K10" s="445">
        <f>transport!K54</f>
        <v>0</v>
      </c>
      <c r="L10" s="445">
        <f>transport!L54</f>
        <v>0</v>
      </c>
      <c r="M10" s="445">
        <f>transport!M54</f>
        <v>66.989666785688428</v>
      </c>
      <c r="N10" s="445">
        <f>transport!N54</f>
        <v>0</v>
      </c>
      <c r="O10" s="445">
        <f>transport!O54</f>
        <v>0</v>
      </c>
      <c r="P10" s="446">
        <f>transport!P54</f>
        <v>0</v>
      </c>
      <c r="Q10" s="444">
        <f t="shared" si="0"/>
        <v>1638.7901815495643</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1464.36266442485</v>
      </c>
      <c r="C14" s="452"/>
      <c r="D14" s="452">
        <f>'SEAP template'!E25</f>
        <v>2821.22463758087</v>
      </c>
      <c r="E14" s="452"/>
      <c r="F14" s="452"/>
      <c r="G14" s="452"/>
      <c r="H14" s="452"/>
      <c r="I14" s="452"/>
      <c r="J14" s="452"/>
      <c r="K14" s="452"/>
      <c r="L14" s="452"/>
      <c r="M14" s="452"/>
      <c r="N14" s="452"/>
      <c r="O14" s="452"/>
      <c r="P14" s="453"/>
      <c r="Q14" s="444">
        <f t="shared" si="0"/>
        <v>4285.5873020057197</v>
      </c>
    </row>
    <row r="15" spans="1:17" s="457" customFormat="1">
      <c r="A15" s="454" t="s">
        <v>549</v>
      </c>
      <c r="B15" s="455">
        <f ca="1">SUM(B4:B14)</f>
        <v>61218.491765846433</v>
      </c>
      <c r="C15" s="455">
        <f t="shared" ref="C15:Q15" ca="1" si="1">SUM(C4:C14)</f>
        <v>2673</v>
      </c>
      <c r="D15" s="455">
        <f t="shared" ca="1" si="1"/>
        <v>103541.94505667123</v>
      </c>
      <c r="E15" s="455">
        <f t="shared" si="1"/>
        <v>1749.873611407465</v>
      </c>
      <c r="F15" s="455">
        <f t="shared" ca="1" si="1"/>
        <v>39377.818308907452</v>
      </c>
      <c r="G15" s="455">
        <f t="shared" si="1"/>
        <v>135212.31124831038</v>
      </c>
      <c r="H15" s="455">
        <f t="shared" si="1"/>
        <v>16391.794974377583</v>
      </c>
      <c r="I15" s="455">
        <f t="shared" si="1"/>
        <v>0</v>
      </c>
      <c r="J15" s="455">
        <f t="shared" si="1"/>
        <v>889.98628567754133</v>
      </c>
      <c r="K15" s="455">
        <f t="shared" si="1"/>
        <v>0</v>
      </c>
      <c r="L15" s="455">
        <f t="shared" ca="1" si="1"/>
        <v>0</v>
      </c>
      <c r="M15" s="455">
        <f t="shared" si="1"/>
        <v>6578.856677425134</v>
      </c>
      <c r="N15" s="455">
        <f t="shared" ca="1" si="1"/>
        <v>7927.2178868445535</v>
      </c>
      <c r="O15" s="455">
        <f t="shared" si="1"/>
        <v>170.40333333333334</v>
      </c>
      <c r="P15" s="455">
        <f t="shared" si="1"/>
        <v>114.4</v>
      </c>
      <c r="Q15" s="455">
        <f t="shared" ca="1" si="1"/>
        <v>375846.09914880112</v>
      </c>
    </row>
    <row r="17" spans="1:17">
      <c r="A17" s="458" t="s">
        <v>550</v>
      </c>
      <c r="B17" s="725">
        <f ca="1">huishoudens!B10</f>
        <v>0.17164745348091676</v>
      </c>
      <c r="C17" s="725">
        <f ca="1">huishoudens!C10</f>
        <v>7.8529411764705875E-2</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5462.7498197446994</v>
      </c>
      <c r="C22" s="445">
        <f t="shared" ref="C22:C32" ca="1" si="3">C4*$C$17</f>
        <v>0</v>
      </c>
      <c r="D22" s="445">
        <f t="shared" ref="D22:D32" si="4">D4*$D$17</f>
        <v>15241.86715293276</v>
      </c>
      <c r="E22" s="445">
        <f t="shared" ref="E22:E32" si="5">E4*$E$17</f>
        <v>182.64071550548692</v>
      </c>
      <c r="F22" s="445">
        <f t="shared" ref="F22:F32" si="6">F4*$F$17</f>
        <v>7332.8908738466844</v>
      </c>
      <c r="G22" s="445">
        <f t="shared" ref="G22:G32" si="7">G4*$G$17</f>
        <v>0</v>
      </c>
      <c r="H22" s="445">
        <f t="shared" ref="H22:H32" si="8">H4*$H$17</f>
        <v>0</v>
      </c>
      <c r="I22" s="445">
        <f t="shared" ref="I22:I32" si="9">I4*$I$17</f>
        <v>0</v>
      </c>
      <c r="J22" s="445">
        <f t="shared" ref="J22:J32" si="10">J4*$J$17</f>
        <v>218.92064220656312</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28439.069204236195</v>
      </c>
    </row>
    <row r="23" spans="1:17">
      <c r="A23" s="444" t="s">
        <v>149</v>
      </c>
      <c r="B23" s="445">
        <f t="shared" ca="1" si="2"/>
        <v>2447.3089424625769</v>
      </c>
      <c r="C23" s="445">
        <f t="shared" ca="1" si="3"/>
        <v>0</v>
      </c>
      <c r="D23" s="445">
        <f t="shared" ca="1" si="4"/>
        <v>3236.1898138294914</v>
      </c>
      <c r="E23" s="445">
        <f t="shared" si="5"/>
        <v>64.483119171606219</v>
      </c>
      <c r="F23" s="445">
        <f t="shared" ca="1" si="6"/>
        <v>724.8969340328058</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6472.8788094964812</v>
      </c>
    </row>
    <row r="24" spans="1:17">
      <c r="A24" s="444" t="s">
        <v>187</v>
      </c>
      <c r="B24" s="445">
        <f t="shared" ca="1" si="2"/>
        <v>192.50862673972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192.50862673972</v>
      </c>
    </row>
    <row r="25" spans="1:17">
      <c r="A25" s="444" t="s">
        <v>105</v>
      </c>
      <c r="B25" s="445">
        <f t="shared" ca="1" si="2"/>
        <v>374.0796943401632</v>
      </c>
      <c r="C25" s="445">
        <f t="shared" ca="1" si="3"/>
        <v>209.90911764705879</v>
      </c>
      <c r="D25" s="445">
        <f t="shared" si="4"/>
        <v>50.854426263689234</v>
      </c>
      <c r="E25" s="445">
        <f t="shared" si="5"/>
        <v>4.4579847236148336</v>
      </c>
      <c r="F25" s="445">
        <f t="shared" si="6"/>
        <v>1783.8502061212737</v>
      </c>
      <c r="G25" s="445">
        <f t="shared" si="7"/>
        <v>0</v>
      </c>
      <c r="H25" s="445">
        <f t="shared" si="8"/>
        <v>0</v>
      </c>
      <c r="I25" s="445">
        <f t="shared" si="9"/>
        <v>0</v>
      </c>
      <c r="J25" s="445">
        <f t="shared" si="10"/>
        <v>78.071548810018768</v>
      </c>
      <c r="K25" s="445">
        <f t="shared" si="11"/>
        <v>0</v>
      </c>
      <c r="L25" s="445">
        <f t="shared" si="12"/>
        <v>0</v>
      </c>
      <c r="M25" s="445">
        <f t="shared" si="13"/>
        <v>0</v>
      </c>
      <c r="N25" s="445">
        <f t="shared" si="14"/>
        <v>0</v>
      </c>
      <c r="O25" s="445">
        <f t="shared" si="15"/>
        <v>0</v>
      </c>
      <c r="P25" s="446">
        <f t="shared" si="16"/>
        <v>0</v>
      </c>
      <c r="Q25" s="444">
        <f t="shared" ca="1" si="17"/>
        <v>2501.2229779058184</v>
      </c>
    </row>
    <row r="26" spans="1:17">
      <c r="A26" s="444" t="s">
        <v>613</v>
      </c>
      <c r="B26" s="445">
        <f t="shared" ca="1" si="2"/>
        <v>1778.5017144038686</v>
      </c>
      <c r="C26" s="445">
        <f t="shared" ca="1" si="3"/>
        <v>0</v>
      </c>
      <c r="D26" s="445">
        <f t="shared" si="4"/>
        <v>1815.7517036201241</v>
      </c>
      <c r="E26" s="445">
        <f t="shared" si="5"/>
        <v>23.497644687896091</v>
      </c>
      <c r="F26" s="445">
        <f t="shared" si="6"/>
        <v>672.23947447752687</v>
      </c>
      <c r="G26" s="445">
        <f t="shared" si="7"/>
        <v>0</v>
      </c>
      <c r="H26" s="445">
        <f t="shared" si="8"/>
        <v>0</v>
      </c>
      <c r="I26" s="445">
        <f t="shared" si="9"/>
        <v>0</v>
      </c>
      <c r="J26" s="445">
        <f t="shared" si="10"/>
        <v>18.062954113267736</v>
      </c>
      <c r="K26" s="445">
        <f t="shared" si="11"/>
        <v>0</v>
      </c>
      <c r="L26" s="445">
        <f t="shared" si="12"/>
        <v>0</v>
      </c>
      <c r="M26" s="445">
        <f t="shared" si="13"/>
        <v>0</v>
      </c>
      <c r="N26" s="445">
        <f t="shared" si="14"/>
        <v>0</v>
      </c>
      <c r="O26" s="445">
        <f t="shared" si="15"/>
        <v>0</v>
      </c>
      <c r="P26" s="446">
        <f t="shared" si="16"/>
        <v>0</v>
      </c>
      <c r="Q26" s="444">
        <f t="shared" ca="1" si="17"/>
        <v>4308.0534913026831</v>
      </c>
    </row>
    <row r="27" spans="1:17" s="450" customFormat="1">
      <c r="A27" s="448" t="s">
        <v>555</v>
      </c>
      <c r="B27" s="719">
        <f t="shared" ca="1" si="2"/>
        <v>0.2573623030846543</v>
      </c>
      <c r="C27" s="449">
        <f t="shared" ca="1" si="3"/>
        <v>0</v>
      </c>
      <c r="D27" s="449">
        <f t="shared" si="4"/>
        <v>0.92242801018843845</v>
      </c>
      <c r="E27" s="449">
        <f t="shared" si="5"/>
        <v>122.14184570089049</v>
      </c>
      <c r="F27" s="449">
        <f t="shared" si="6"/>
        <v>0</v>
      </c>
      <c r="G27" s="449">
        <f t="shared" si="7"/>
        <v>35683.941991323532</v>
      </c>
      <c r="H27" s="449">
        <f t="shared" si="8"/>
        <v>4081.5569486200179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39888.820575957718</v>
      </c>
    </row>
    <row r="28" spans="1:17">
      <c r="A28" s="444" t="s">
        <v>545</v>
      </c>
      <c r="B28" s="445">
        <f t="shared" ca="1" si="2"/>
        <v>1.2379352348411239</v>
      </c>
      <c r="C28" s="445">
        <f t="shared" ca="1" si="3"/>
        <v>0</v>
      </c>
      <c r="D28" s="445">
        <f t="shared" si="4"/>
        <v>0</v>
      </c>
      <c r="E28" s="445">
        <f t="shared" si="5"/>
        <v>0</v>
      </c>
      <c r="F28" s="445">
        <f t="shared" si="6"/>
        <v>0</v>
      </c>
      <c r="G28" s="445">
        <f t="shared" si="7"/>
        <v>417.74511197533917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418.9830472101803</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251.35412232105574</v>
      </c>
      <c r="C32" s="445">
        <f t="shared" ca="1" si="3"/>
        <v>0</v>
      </c>
      <c r="D32" s="445">
        <f t="shared" si="4"/>
        <v>569.88737679133578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821.24149911239147</v>
      </c>
    </row>
    <row r="33" spans="1:17" s="457" customFormat="1">
      <c r="A33" s="454" t="s">
        <v>549</v>
      </c>
      <c r="B33" s="455">
        <f ca="1">SUM(B22:B32)</f>
        <v>10507.99821755001</v>
      </c>
      <c r="C33" s="455">
        <f t="shared" ref="C33:Q33" ca="1" si="19">SUM(C22:C32)</f>
        <v>209.90911764705879</v>
      </c>
      <c r="D33" s="455">
        <f t="shared" ca="1" si="19"/>
        <v>20915.472901447589</v>
      </c>
      <c r="E33" s="455">
        <f t="shared" si="19"/>
        <v>397.22130978949457</v>
      </c>
      <c r="F33" s="455">
        <f t="shared" ca="1" si="19"/>
        <v>10513.877488478291</v>
      </c>
      <c r="G33" s="455">
        <f t="shared" si="19"/>
        <v>36101.687103298871</v>
      </c>
      <c r="H33" s="455">
        <f t="shared" si="19"/>
        <v>4081.5569486200179</v>
      </c>
      <c r="I33" s="455">
        <f t="shared" si="19"/>
        <v>0</v>
      </c>
      <c r="J33" s="455">
        <f t="shared" si="19"/>
        <v>315.05514512984962</v>
      </c>
      <c r="K33" s="455">
        <f t="shared" si="19"/>
        <v>0</v>
      </c>
      <c r="L33" s="455">
        <f t="shared" ca="1" si="19"/>
        <v>0</v>
      </c>
      <c r="M33" s="455">
        <f t="shared" si="19"/>
        <v>0</v>
      </c>
      <c r="N33" s="455">
        <f t="shared" ca="1" si="19"/>
        <v>0</v>
      </c>
      <c r="O33" s="455">
        <f t="shared" si="19"/>
        <v>0</v>
      </c>
      <c r="P33" s="455">
        <f t="shared" si="19"/>
        <v>0</v>
      </c>
      <c r="Q33" s="455">
        <f t="shared" ca="1" si="19"/>
        <v>83042.778231961187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9911.2119547937709</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2228.0565748668282</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1782</v>
      </c>
      <c r="C8" s="963">
        <f>'SEAP template'!C76</f>
        <v>594</v>
      </c>
      <c r="D8" s="963">
        <f>'SEAP template'!D76</f>
        <v>0</v>
      </c>
      <c r="E8" s="963">
        <f>'SEAP template'!E76</f>
        <v>0</v>
      </c>
      <c r="F8" s="963">
        <f>'SEAP template'!F76</f>
        <v>698.82352941176475</v>
      </c>
      <c r="G8" s="963">
        <f>'SEAP template'!G76</f>
        <v>0</v>
      </c>
      <c r="H8" s="963">
        <f>'SEAP template'!H76</f>
        <v>0</v>
      </c>
      <c r="I8" s="963">
        <f>'SEAP template'!I76</f>
        <v>2096.4705882352941</v>
      </c>
      <c r="J8" s="963">
        <f>'SEAP template'!J76</f>
        <v>0</v>
      </c>
      <c r="K8" s="963">
        <f>'SEAP template'!K76</f>
        <v>0</v>
      </c>
      <c r="L8" s="963">
        <f>'SEAP template'!L76</f>
        <v>0</v>
      </c>
      <c r="M8" s="963">
        <f>'SEAP template'!M76</f>
        <v>0</v>
      </c>
      <c r="N8" s="963">
        <f>'SEAP template'!N76</f>
        <v>0</v>
      </c>
      <c r="O8" s="963">
        <f>'SEAP template'!O76</f>
        <v>0</v>
      </c>
      <c r="P8" s="964">
        <f>'SEAP template'!Q76</f>
        <v>186.58588235294121</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13921.2685296606</v>
      </c>
      <c r="C10" s="967">
        <f>SUM(C4:C9)</f>
        <v>594</v>
      </c>
      <c r="D10" s="967">
        <f t="shared" ref="D10:H10" si="0">SUM(D8:D9)</f>
        <v>0</v>
      </c>
      <c r="E10" s="967">
        <f t="shared" si="0"/>
        <v>0</v>
      </c>
      <c r="F10" s="967">
        <f t="shared" si="0"/>
        <v>698.82352941176475</v>
      </c>
      <c r="G10" s="967">
        <f t="shared" si="0"/>
        <v>0</v>
      </c>
      <c r="H10" s="967">
        <f t="shared" si="0"/>
        <v>0</v>
      </c>
      <c r="I10" s="967">
        <f>SUM(I8:I9)</f>
        <v>2096.4705882352941</v>
      </c>
      <c r="J10" s="967">
        <f>SUM(J8:J9)</f>
        <v>0</v>
      </c>
      <c r="K10" s="967">
        <f t="shared" ref="K10:L10" si="1">SUM(K8:K9)</f>
        <v>0</v>
      </c>
      <c r="L10" s="967">
        <f t="shared" si="1"/>
        <v>0</v>
      </c>
      <c r="M10" s="967">
        <f>SUM(M8:M9)</f>
        <v>0</v>
      </c>
      <c r="N10" s="967">
        <f>SUM(N8:N9)</f>
        <v>0</v>
      </c>
      <c r="O10" s="967">
        <f>SUM(O8:O9)</f>
        <v>0</v>
      </c>
      <c r="P10" s="967">
        <f>SUM(P8:P9)</f>
        <v>186.58588235294121</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0.17164745348091676</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2004.75</v>
      </c>
      <c r="C17" s="970">
        <f>'SEAP template'!C87</f>
        <v>668.25</v>
      </c>
      <c r="D17" s="964">
        <f>'SEAP template'!D87</f>
        <v>0</v>
      </c>
      <c r="E17" s="964">
        <f>'SEAP template'!E87</f>
        <v>0</v>
      </c>
      <c r="F17" s="964">
        <f>'SEAP template'!F87</f>
        <v>786.17647058823525</v>
      </c>
      <c r="G17" s="964">
        <f>'SEAP template'!G87</f>
        <v>0</v>
      </c>
      <c r="H17" s="964">
        <f>'SEAP template'!H87</f>
        <v>0</v>
      </c>
      <c r="I17" s="964">
        <f>'SEAP template'!I87</f>
        <v>2358.5294117647059</v>
      </c>
      <c r="J17" s="964">
        <f>'SEAP template'!J87</f>
        <v>0</v>
      </c>
      <c r="K17" s="964">
        <f>'SEAP template'!K87</f>
        <v>0</v>
      </c>
      <c r="L17" s="964">
        <f>'SEAP template'!L87</f>
        <v>0</v>
      </c>
      <c r="M17" s="964">
        <f>'SEAP template'!M87</f>
        <v>0</v>
      </c>
      <c r="N17" s="964">
        <f>'SEAP template'!N87</f>
        <v>0</v>
      </c>
      <c r="O17" s="964">
        <f>'SEAP template'!O87</f>
        <v>0</v>
      </c>
      <c r="P17" s="964">
        <f>'SEAP template'!Q87</f>
        <v>209.90911764705882</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2004.75</v>
      </c>
      <c r="C20" s="967">
        <f>SUM(C17:C19)</f>
        <v>668.25</v>
      </c>
      <c r="D20" s="967">
        <f t="shared" ref="D20:H20" si="2">SUM(D17:D19)</f>
        <v>0</v>
      </c>
      <c r="E20" s="967">
        <f t="shared" si="2"/>
        <v>0</v>
      </c>
      <c r="F20" s="967">
        <f t="shared" si="2"/>
        <v>786.17647058823525</v>
      </c>
      <c r="G20" s="967">
        <f t="shared" si="2"/>
        <v>0</v>
      </c>
      <c r="H20" s="967">
        <f t="shared" si="2"/>
        <v>0</v>
      </c>
      <c r="I20" s="967">
        <f>SUM(I17:I19)</f>
        <v>2358.5294117647059</v>
      </c>
      <c r="J20" s="967">
        <f>SUM(J17:J19)</f>
        <v>0</v>
      </c>
      <c r="K20" s="967">
        <f t="shared" ref="K20:L20" si="3">SUM(K17:K19)</f>
        <v>0</v>
      </c>
      <c r="L20" s="967">
        <f t="shared" si="3"/>
        <v>0</v>
      </c>
      <c r="M20" s="967">
        <f>SUM(M17:M19)</f>
        <v>0</v>
      </c>
      <c r="N20" s="967">
        <f>SUM(N17:N19)</f>
        <v>0</v>
      </c>
      <c r="O20" s="967">
        <f>SUM(O17:O19)</f>
        <v>0</v>
      </c>
      <c r="P20" s="967">
        <f>SUM(P17:P19)</f>
        <v>209.90911764705882</v>
      </c>
    </row>
    <row r="22" spans="1:16">
      <c r="A22" s="458" t="s">
        <v>885</v>
      </c>
      <c r="B22" s="725" t="s">
        <v>879</v>
      </c>
      <c r="C22" s="725">
        <f ca="1">'EF ele_warmte'!B22</f>
        <v>7.8529411764705875E-2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0.17164745348091676</v>
      </c>
      <c r="C17" s="494">
        <f ca="1">'EF ele_warmte'!B22</f>
        <v>7.8529411764705875E-2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2022-07-26T13:04:10Z</dcterms:modified>
</cp:coreProperties>
</file>