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57AC719A-3502-46AB-A89D-F7F1627BF5F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D20" i="18"/>
  <c r="G12" i="18"/>
  <c r="F12" i="18"/>
  <c r="E12" i="18"/>
  <c r="D12" i="18"/>
  <c r="C12" i="18"/>
  <c r="L10" i="18"/>
  <c r="K10" i="18"/>
  <c r="G10" i="18"/>
  <c r="D10" i="18"/>
  <c r="B6" i="18"/>
  <c r="B5" i="18"/>
  <c r="B4" i="18"/>
  <c r="G20" i="18"/>
  <c r="K20" i="18"/>
  <c r="B46" i="18"/>
  <c r="I50" i="18"/>
  <c r="H17" i="18"/>
  <c r="J9" i="18"/>
  <c r="O9" i="18"/>
  <c r="B17" i="18"/>
  <c r="B20" i="18"/>
  <c r="C46" i="18"/>
  <c r="H49" i="18"/>
  <c r="O19" i="18"/>
  <c r="O18" i="18"/>
  <c r="L20" i="18"/>
  <c r="B10" i="18"/>
  <c r="D50"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0" i="18"/>
  <c r="C17" i="18"/>
  <c r="D87" i="14"/>
  <c r="D17" i="55"/>
  <c r="D20" i="55"/>
  <c r="L20" i="55"/>
  <c r="F50" i="18"/>
  <c r="G50" i="18"/>
  <c r="I17" i="18"/>
  <c r="J77" i="14"/>
  <c r="J9" i="55"/>
  <c r="H50" i="18"/>
  <c r="H20" i="18"/>
  <c r="M87" i="14"/>
  <c r="M17" i="55"/>
  <c r="M20" i="55"/>
  <c r="C50" i="18"/>
  <c r="E50" i="18"/>
  <c r="E17" i="18"/>
  <c r="K10" i="55"/>
  <c r="C49" i="18"/>
  <c r="E49" i="18"/>
  <c r="E8" i="18"/>
  <c r="G49" i="18"/>
  <c r="I49" i="18"/>
  <c r="H8" i="18"/>
  <c r="B49" i="18"/>
  <c r="C8" i="18"/>
  <c r="D76" i="14"/>
  <c r="D8" i="55"/>
  <c r="D10" i="55"/>
  <c r="D49" i="18"/>
  <c r="F49"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<sst xmlns="http://schemas.openxmlformats.org/spreadsheetml/2006/main" count="2523" uniqueCount="965">
  <si>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</si>
  <si>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</si>
  <si>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</si>
  <si>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</si>
  <si>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</si>
  <si>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</si>
  <si>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</si>
  <si>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</si>
  <si>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</si>
  <si>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</si>
  <si>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</si>
  <si>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</si>
  <si>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</si>
  <si>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</si>
  <si>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</si>
  <si>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</si>
  <si>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</si>
  <si>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</si>
  <si>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</si>
  <si>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</si>
  <si>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</si>
  <si>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</si>
  <si>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</si>
  <si>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</si>
  <si>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</si>
  <si>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</si>
  <si>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</si>
  <si>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</si>
  <si>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</si>
  <si>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</si>
  <si>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</si>
  <si>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</si>
  <si>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</si>
  <si>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</si>
  <si>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</si>
  <si>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</si>
  <si>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</si>
  <si>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</si>
  <si>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</si>
  <si>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</si>
  <si>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</si>
  <si>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</si>
  <si>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</si>
  <si>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</si>
  <si>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</si>
  <si>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</si>
  <si>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</si>
  <si>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</si>
  <si>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</si>
  <si>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</si>
  <si>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</si>
  <si>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</si>
  <si>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</si>
  <si>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</si>
  <si>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</si>
  <si>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</si>
  <si>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</si>
  <si>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</si>
  <si>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</si>
  <si>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</si>
  <si>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</si>
  <si>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</si>
  <si>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</si>
  <si>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</si>
  <si>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</si>
  <si>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</si>
  <si>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</si>
  <si>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</si>
  <si>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</si>
  <si>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</si>
  <si>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</si>
  <si>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</si>
  <si>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</si>
  <si>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</si>
  <si>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</si>
  <si>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</si>
  <si>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</si>
  <si>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</si>
  <si>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</si>
  <si>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</si>
  <si>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</si>
  <si>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</si>
  <si>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</si>
  <si>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</si>
  <si>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</si>
  <si>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</si>
  <si>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</si>
  <si>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</si>
  <si>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</si>
  <si>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</si>
  <si>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</si>
  <si>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</si>
  <si>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</si>
  <si>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</si>
  <si>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</si>
  <si>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</si>
  <si>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</si>
  <si>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</si>
  <si>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</si>
  <si>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</si>
  <si>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</si>
  <si>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</si>
  <si>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</si>
  <si>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</si>
  <si>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</si>
  <si>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</si>
  <si>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</si>
  <si>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</si>
  <si>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</si>
  <si>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</si>
  <si>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</si>
  <si>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</si>
  <si>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</si>
  <si>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</si>
  <si>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</si>
  <si>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</si>
  <si>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</si>
  <si>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</si>
  <si>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</si>
  <si>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</si>
  <si>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</si>
  <si>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</si>
  <si>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</si>
  <si>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</si>
  <si>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</si>
  <si>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</si>
  <si>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</si>
  <si>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</si>
  <si>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</si>
  <si>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</si>
  <si>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</si>
  <si>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</si>
  <si>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</si>
  <si>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</si>
  <si>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</si>
  <si>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</si>
  <si>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</si>
  <si>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</si>
  <si>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</si>
  <si>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</si>
  <si>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</si>
  <si>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</si>
  <si>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</si>
  <si>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</si>
  <si>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</si>
  <si>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</si>
  <si>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</si>
  <si>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</si>
  <si>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</si>
  <si>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</si>
  <si>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</si>
  <si>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</si>
  <si>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</si>
  <si>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</si>
  <si>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</si>
  <si>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</si>
  <si>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</si>
  <si>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</si>
  <si>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</si>
  <si>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</si>
  <si>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</si>
  <si>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</si>
  <si>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</si>
  <si>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</si>
  <si>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</si>
  <si>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</si>
  <si>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</si>
  <si>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</si>
  <si>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</si>
  <si>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</si>
  <si>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</si>
  <si>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</si>
  <si>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</si>
  <si>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</si>
  <si>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</si>
  <si>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</si>
  <si>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</si>
  <si>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</si>
  <si>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</si>
  <si>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</si>
  <si>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</si>
  <si>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</si>
  <si>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</si>
  <si>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</si>
  <si>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</si>
  <si>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</si>
  <si>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</si>
  <si>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</si>
  <si>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</si>
  <si>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</si>
  <si>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</si>
  <si>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</si>
  <si>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</si>
  <si>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</si>
  <si>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</si>
  <si>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</si>
  <si>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</si>
  <si>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</si>
  <si>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</si>
  <si>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</si>
  <si>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</si>
  <si>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</si>
  <si>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</si>
  <si>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</si>
  <si>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</si>
  <si>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</si>
  <si>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</si>
  <si>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</si>
  <si>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</si>
  <si>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</si>
  <si>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</si>
  <si>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</si>
  <si>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</si>
  <si>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</si>
  <si>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</si>
  <si>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</si>
  <si>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</si>
  <si>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</si>
  <si>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</si>
  <si>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</si>
  <si>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</si>
  <si>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</si>
  <si>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</si>
  <si>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</si>
  <si>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</si>
  <si>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</si>
  <si>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</si>
  <si>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</si>
  <si>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</si>
  <si>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</si>
  <si>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</si>
  <si>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</si>
  <si>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</si>
  <si>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</si>
  <si>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</si>
  <si>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</si>
  <si>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</si>
  <si>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</si>
  <si>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</si>
  <si>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</si>
  <si>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</si>
  <si>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</si>
  <si>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</si>
  <si>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</si>
  <si>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</si>
  <si>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</si>
  <si>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</si>
  <si>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</si>
  <si>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</si>
  <si>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</si>
  <si>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</si>
  <si>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</si>
  <si>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</si>
  <si>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</si>
  <si>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</si>
  <si>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</si>
  <si>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</si>
  <si>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</si>
  <si>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</si>
  <si>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</si>
  <si>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</si>
  <si>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</si>
  <si>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</si>
  <si>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</si>
  <si>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</si>
  <si>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</si>
  <si>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</si>
  <si>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</si>
  <si>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</si>
  <si>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</si>
  <si>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</si>
  <si>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</si>
  <si>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</si>
  <si>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</si>
  <si>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</si>
  <si>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</si>
  <si>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</si>
  <si>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</si>
  <si>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</si>
  <si>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</si>
  <si>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</si>
  <si>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</si>
  <si>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</si>
  <si>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</si>
  <si>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</si>
  <si>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</si>
  <si>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</si>
  <si>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</si>
  <si>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</si>
  <si>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</si>
  <si>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</si>
  <si>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</si>
  <si>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</si>
  <si>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</si>
  <si>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</si>
  <si>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</si>
  <si>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</si>
  <si>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</si>
  <si>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</si>
  <si>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</si>
  <si>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</si>
  <si>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</si>
  <si>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</si>
  <si>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</si>
  <si>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</si>
  <si>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</si>
  <si>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</si>
  <si>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</si>
  <si>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</si>
  <si>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</si>
  <si>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</si>
  <si>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</si>
  <si>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</si>
  <si>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</si>
  <si>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</si>
  <si>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</si>
  <si>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</si>
  <si>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</si>
  <si>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</si>
  <si>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</si>
  <si>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</si>
  <si>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</si>
  <si>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</si>
  <si>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</si>
  <si>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</si>
  <si>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</si>
  <si>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</si>
  <si>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</si>
  <si>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</si>
  <si>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</si>
  <si>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</si>
  <si>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</si>
  <si>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</si>
  <si>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</si>
  <si>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</si>
  <si>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</si>
  <si>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</si>
  <si>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</si>
  <si>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</si>
  <si>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</si>
  <si>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</si>
  <si>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</si>
  <si>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</si>
  <si>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</si>
  <si>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</si>
  <si>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</si>
  <si>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</si>
  <si>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</si>
  <si>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</si>
  <si>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</si>
  <si>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</si>
  <si>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</si>
  <si>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</si>
  <si>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</si>
  <si>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</si>
  <si>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</si>
  <si>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</si>
  <si>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</si>
  <si>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</si>
  <si>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</si>
  <si>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</si>
  <si>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</si>
  <si>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</si>
  <si>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</si>
  <si>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</si>
  <si>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</si>
  <si>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</si>
  <si>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</si>
  <si>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</si>
  <si>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</si>
  <si>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</si>
  <si>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</si>
  <si>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</si>
  <si>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</si>
  <si>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</si>
  <si>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</si>
  <si>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</si>
  <si>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</si>
  <si>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</si>
  <si>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</si>
  <si>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</si>
  <si>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</si>
  <si>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</si>
  <si>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</si>
  <si>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</si>
  <si>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</si>
  <si>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</si>
  <si>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</si>
  <si>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</si>
  <si>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</si>
  <si>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</si>
  <si>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</si>
  <si>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</si>
  <si>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</si>
  <si>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</si>
  <si>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</si>
  <si>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</si>
  <si>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</si>
  <si>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</si>
  <si>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</si>
  <si>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</si>
  <si>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</si>
  <si>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</si>
  <si>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</si>
  <si>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</si>
  <si>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</si>
  <si>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</si>
  <si>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</si>
  <si>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</si>
  <si>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</si>
  <si>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</si>
  <si>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</si>
  <si>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</si>
  <si>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</si>
  <si>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</si>
  <si>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</si>
  <si>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</si>
  <si>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</si>
  <si>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</si>
  <si>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</si>
  <si>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</si>
  <si>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</si>
  <si>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</si>
  <si>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</si>
  <si>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</si>
  <si>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</si>
  <si>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</si>
  <si>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</si>
  <si>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</si>
  <si>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</si>
  <si>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</si>
  <si>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</si>
  <si>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</si>
  <si>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</si>
  <si>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</si>
  <si>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</si>
  <si>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</si>
  <si>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</si>
  <si>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</si>
  <si>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</si>
  <si>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</si>
  <si>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</si>
  <si>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</si>
  <si>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</si>
  <si>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</si>
  <si>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</si>
  <si>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</si>
  <si>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</si>
  <si>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</si>
  <si>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</si>
  <si>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</si>
  <si>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</si>
  <si>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</si>
  <si>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</si>
  <si>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</si>
  <si>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</si>
  <si>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</si>
  <si>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</si>
  <si>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</si>
  <si>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</si>
  <si>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</si>
  <si>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</si>
  <si>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</si>
  <si>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</si>
  <si>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</si>
  <si>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</si>
  <si>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</si>
  <si>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</si>
  <si>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</si>
  <si>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</si>
  <si>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</si>
  <si>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</si>
  <si>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</si>
  <si>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</si>
  <si>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</si>
  <si>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</si>
  <si>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</si>
  <si>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</si>
  <si>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</si>
  <si>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</si>
  <si>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</si>
  <si>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</si>
  <si>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</si>
  <si>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</si>
  <si>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</si>
  <si>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</si>
  <si>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</si>
  <si>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</si>
  <si>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</si>
  <si>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</si>
  <si>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</si>
  <si>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</si>
  <si>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</si>
  <si>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</si>
  <si>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</si>
  <si>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</si>
  <si>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</si>
  <si>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</si>
  <si>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</si>
  <si>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</si>
  <si>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</si>
  <si>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</si>
  <si>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</si>
  <si>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</si>
  <si>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</si>
  <si>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</si>
  <si>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</si>
  <si>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</si>
  <si>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</si>
  <si>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</si>
  <si>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</si>
  <si>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</si>
  <si>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</si>
  <si>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</si>
  <si>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</si>
  <si>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</si>
  <si>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</si>
  <si>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</si>
  <si>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</si>
  <si>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</si>
  <si>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</si>
  <si>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</si>
  <si>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</si>
  <si>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</si>
  <si>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</si>
  <si>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</si>
  <si>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</si>
  <si>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</si>
  <si>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</si>
  <si>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</si>
  <si>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</si>
  <si>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</si>
  <si>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</si>
  <si>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</si>
  <si>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</si>
  <si>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</si>
  <si>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</si>
  <si>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</si>
  <si>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</si>
  <si>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</si>
  <si>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</si>
  <si>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</si>
  <si>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</si>
  <si>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</si>
  <si>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</si>
  <si>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</si>
  <si>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</si>
  <si>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</si>
  <si>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</si>
  <si>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</si>
  <si>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</si>
  <si>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</si>
  <si>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</si>
  <si>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</si>
  <si>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</si>
  <si>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</si>
  <si>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</si>
  <si>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</si>
  <si>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</si>
  <si>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</si>
  <si>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</si>
  <si>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</si>
  <si>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</si>
  <si>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</si>
  <si>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</si>
  <si>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</si>
  <si>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</si>
  <si>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</si>
  <si>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</si>
  <si>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</si>
  <si>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</si>
  <si>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</si>
  <si>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</si>
  <si>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</si>
  <si>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</si>
  <si>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</si>
  <si>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</si>
  <si>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</si>
  <si>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</si>
  <si>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</si>
  <si>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</si>
  <si>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</si>
  <si>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</si>
  <si>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</si>
  <si>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</si>
  <si>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</si>
  <si>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</si>
  <si>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</si>
  <si>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</si>
  <si>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</si>
  <si>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</si>
  <si>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</si>
  <si>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</si>
  <si>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</si>
  <si>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</si>
  <si>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</si>
  <si>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</si>
  <si>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</si>
  <si>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</si>
  <si>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</si>
  <si>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</si>
  <si>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</si>
  <si>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</si>
  <si>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</si>
  <si>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</si>
  <si>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</si>
  <si>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</si>
  <si>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</si>
  <si>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</si>
  <si>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</si>
  <si>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</si>
  <si>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</si>
  <si>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</si>
  <si>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</si>
  <si>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</si>
  <si>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</si>
  <si>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</si>
  <si>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</si>
  <si>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</si>
  <si>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</si>
  <si>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</si>
  <si>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</si>
  <si>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</si>
  <si>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</si>
  <si>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</si>
  <si>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</si>
  <si>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</si>
  <si>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</si>
  <si>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</si>
  <si>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</si>
  <si>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</si>
  <si>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</si>
  <si>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</si>
  <si>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</si>
  <si>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</si>
  <si>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</si>
  <si>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</si>
  <si>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</si>
  <si>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</si>
  <si>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</si>
  <si>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</si>
  <si>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</si>
  <si>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</si>
  <si>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</si>
  <si>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</si>
  <si>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</si>
  <si>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</si>
  <si>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</si>
  <si>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</si>
  <si>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</si>
  <si>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</si>
  <si>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</si>
  <si>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</si>
  <si>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</si>
  <si>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</si>
  <si>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</si>
  <si>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</si>
  <si>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</si>
  <si>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</si>
  <si>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</si>
  <si>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</si>
  <si>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</si>
  <si>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</si>
  <si>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</si>
  <si>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</si>
  <si>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</si>
  <si>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</si>
  <si>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</si>
  <si>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</si>
  <si>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</si>
  <si>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</si>
  <si>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</si>
  <si>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</si>
  <si>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</si>
  <si>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</si>
  <si>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</si>
  <si>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</si>
  <si>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</si>
  <si>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</si>
  <si>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</si>
  <si>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</si>
  <si>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</si>
  <si>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</si>
  <si>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</si>
  <si>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</si>
  <si>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</si>
  <si>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</si>
  <si>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</si>
  <si>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</si>
  <si>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</si>
  <si>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</si>
  <si>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</si>
  <si>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</si>
  <si>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</si>
  <si>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</si>
  <si>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</si>
  <si>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</si>
  <si>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</si>
  <si>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</si>
  <si>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</si>
  <si>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</si>
  <si>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</si>
  <si>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</si>
  <si>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</si>
  <si>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</si>
  <si>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</si>
  <si>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</si>
  <si>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</si>
  <si>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</si>
  <si>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</si>
  <si>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</si>
  <si>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</si>
  <si>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</si>
  <si>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</si>
  <si>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</si>
  <si>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</si>
  <si>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</si>
  <si>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</si>
  <si>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</si>
  <si>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</si>
  <si>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</si>
  <si>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</si>
  <si>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</si>
  <si>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</si>
  <si>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</si>
  <si>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</si>
  <si>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</si>
  <si>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</si>
  <si>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</si>
  <si>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</si>
  <si>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</si>
  <si>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</si>
  <si>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</si>
  <si>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</si>
  <si>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</si>
  <si>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</si>
  <si>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</si>
  <si>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</si>
  <si>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</si>
  <si>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</si>
  <si>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</si>
  <si>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</si>
  <si>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</si>
  <si>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</si>
  <si>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</si>
  <si>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</si>
  <si>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</si>
  <si>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</si>
  <si>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</si>
  <si>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</si>
  <si>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</si>
  <si>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</si>
  <si>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</si>
  <si>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</si>
  <si>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</si>
  <si>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</si>
  <si>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</si>
  <si>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</si>
  <si>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</si>
  <si>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</si>
  <si>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</si>
  <si>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</si>
  <si>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</si>
  <si>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</si>
  <si>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</si>
  <si>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</si>
  <si>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</si>
  <si>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</si>
  <si>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</si>
  <si>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</si>
  <si>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</si>
  <si>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</si>
  <si>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</si>
  <si>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</si>
  <si>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</si>
  <si>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</si>
  <si>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</si>
  <si>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</si>
  <si>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</si>
  <si>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</si>
  <si>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</si>
  <si>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</si>
  <si>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</si>
  <si>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</si>
  <si>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</si>
  <si>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</si>
  <si>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</si>
  <si>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</si>
  <si>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</si>
  <si>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</si>
  <si>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</si>
  <si>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</si>
  <si>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</si>
  <si>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</si>
  <si>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</si>
  <si>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</si>
  <si>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</si>
  <si>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</si>
  <si>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</si>
  <si>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</si>
  <si>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</si>
  <si>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</si>
  <si>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</si>
  <si>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</si>
  <si>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</si>
  <si>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</si>
  <si>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</si>
  <si>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</si>
  <si>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</si>
  <si>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</si>
  <si>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</si>
  <si>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</si>
  <si>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</si>
  <si>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</si>
  <si>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</si>
  <si>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</si>
  <si>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</si>
  <si>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</si>
  <si>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</si>
  <si>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</si>
  <si>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</si>
  <si>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</si>
  <si>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</si>
  <si>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</si>
  <si>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</si>
  <si>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</si>
  <si>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</si>
  <si>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</si>
  <si>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</si>
  <si>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</si>
  <si>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</si>
  <si>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</si>
  <si>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</si>
  <si>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</si>
  <si>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</si>
  <si>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</si>
  <si>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</si>
  <si>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</si>
  <si>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</si>
  <si>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</si>
  <si>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</si>
  <si>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</si>
  <si>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</si>
  <si>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</si>
  <si>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</si>
  <si>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</si>
  <si>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</si>
  <si>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</si>
  <si>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</si>
  <si>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</si>
  <si>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</si>
  <si>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</si>
  <si>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</si>
  <si>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</si>
  <si>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</si>
  <si>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</si>
  <si>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</si>
  <si>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</si>
  <si>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</si>
  <si>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</si>
  <si>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</si>
  <si>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</si>
  <si>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</si>
  <si>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</si>
  <si>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</si>
  <si>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</si>
  <si>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</si>
  <si>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</si>
  <si>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</si>
  <si>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</si>
  <si>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</si>
  <si>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</si>
  <si>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</si>
  <si>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</si>
  <si>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</si>
  <si>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</si>
  <si>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</si>
  <si>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</si>
  <si>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</si>
  <si>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</si>
  <si>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</si>
  <si>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</si>
  <si>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</si>
  <si>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</si>
  <si>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</si>
  <si>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</si>
  <si>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</si>
  <si>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</si>
  <si>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</si>
  <si>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</si>
  <si>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</si>
  <si>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</si>
  <si>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</si>
  <si>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</si>
  <si>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</si>
  <si>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</si>
  <si>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</si>
  <si>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</si>
  <si>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</si>
  <si>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</si>
  <si>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</si>
  <si>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</si>
  <si>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</si>
  <si>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</si>
  <si>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</si>
  <si>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</si>
  <si>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</si>
  <si>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</si>
  <si>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</si>
  <si>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</si>
  <si>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</si>
  <si>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</si>
  <si>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</si>
  <si>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</si>
  <si>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</si>
  <si>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</si>
  <si>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</si>
  <si>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</si>
  <si>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</si>
  <si>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</si>
  <si>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</si>
  <si>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</si>
  <si>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</si>
  <si>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</si>
  <si>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</si>
  <si>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</si>
  <si>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</si>
  <si>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</si>
  <si>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</si>
  <si>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</si>
  <si>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</si>
  <si>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</si>
  <si>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</si>
  <si>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</si>
  <si>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</si>
  <si>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</si>
  <si>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</si>
  <si>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</si>
  <si>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</si>
  <si>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</si>
  <si>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</si>
  <si>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</si>
  <si>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</si>
  <si>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</si>
  <si>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</si>
  <si>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</si>
  <si>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</si>
  <si>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</si>
  <si>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</si>
  <si>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</si>
  <si>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</si>
  <si>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</si>
  <si>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</si>
  <si>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</si>
  <si>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</si>
  <si>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</si>
  <si>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</si>
  <si>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44034</t>
  </si>
  <si>
    <t>LOCHRISTI</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</si>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</sst>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C0A61028-BB15-4FD3-A3B2-3B4AC424833F}"/>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44034</v>
      </c>
      <c r="B6" s="382"/>
      <c r="C6" s="383"/>
    </row>
    <row r="7" spans="1:7" s="380" customFormat="1" ht="15.75" customHeight="1">
      <c r="A7" s="384" t="str">
        <f>txtMunicipality</f>
        <v>LOCHRISTI</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0.21529816966693607</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0.21529816966693607</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8329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3345</v>
      </c>
      <c r="C14" s="324"/>
      <c r="D14" s="324"/>
      <c r="E14" s="324"/>
      <c r="F14" s="324"/>
    </row>
    <row r="15" spans="1:6">
      <c r="A15" s="1235" t="s">
        <v>177</v>
      </c>
      <c r="B15" s="1236">
        <v>55</v>
      </c>
      <c r="C15" s="324"/>
      <c r="D15" s="324"/>
      <c r="E15" s="324"/>
      <c r="F15" s="324"/>
    </row>
    <row r="16" spans="1:6">
      <c r="A16" s="1235" t="s">
        <v>6</v>
      </c>
      <c r="B16" s="1236">
        <v>1788</v>
      </c>
      <c r="C16" s="324"/>
      <c r="D16" s="324"/>
      <c r="E16" s="324"/>
      <c r="F16" s="324"/>
    </row>
    <row r="17" spans="1:6">
      <c r="A17" s="1235" t="s">
        <v>7</v>
      </c>
      <c r="B17" s="1236">
        <v>1658</v>
      </c>
      <c r="C17" s="324"/>
      <c r="D17" s="324"/>
      <c r="E17" s="324"/>
      <c r="F17" s="324"/>
    </row>
    <row r="18" spans="1:6">
      <c r="A18" s="1235" t="s">
        <v>8</v>
      </c>
      <c r="B18" s="1236">
        <v>2566</v>
      </c>
      <c r="C18" s="324"/>
      <c r="D18" s="324"/>
      <c r="E18" s="324"/>
      <c r="F18" s="324"/>
    </row>
    <row r="19" spans="1:6">
      <c r="A19" s="1235" t="s">
        <v>9</v>
      </c>
      <c r="B19" s="1236">
        <v>2599</v>
      </c>
      <c r="C19" s="324"/>
      <c r="D19" s="324"/>
      <c r="E19" s="324"/>
      <c r="F19" s="324"/>
    </row>
    <row r="20" spans="1:6">
      <c r="A20" s="1235" t="s">
        <v>10</v>
      </c>
      <c r="B20" s="1236">
        <v>1814</v>
      </c>
      <c r="C20" s="324"/>
      <c r="D20" s="324"/>
      <c r="E20" s="324"/>
      <c r="F20" s="324"/>
    </row>
    <row r="21" spans="1:6">
      <c r="A21" s="1235" t="s">
        <v>11</v>
      </c>
      <c r="B21" s="1236">
        <v>13549</v>
      </c>
      <c r="C21" s="324"/>
      <c r="D21" s="324"/>
      <c r="E21" s="324"/>
      <c r="F21" s="324"/>
    </row>
    <row r="22" spans="1:6">
      <c r="A22" s="1235" t="s">
        <v>12</v>
      </c>
      <c r="B22" s="1236">
        <v>10198</v>
      </c>
      <c r="C22" s="324"/>
      <c r="D22" s="324"/>
      <c r="E22" s="324"/>
      <c r="F22" s="324"/>
    </row>
    <row r="23" spans="1:6">
      <c r="A23" s="1235" t="s">
        <v>13</v>
      </c>
      <c r="B23" s="1236">
        <v>390</v>
      </c>
      <c r="C23" s="324"/>
      <c r="D23" s="324"/>
      <c r="E23" s="324"/>
      <c r="F23" s="324"/>
    </row>
    <row r="24" spans="1:6">
      <c r="A24" s="1235" t="s">
        <v>14</v>
      </c>
      <c r="B24" s="1236">
        <v>24</v>
      </c>
      <c r="C24" s="324"/>
      <c r="D24" s="324"/>
      <c r="E24" s="324"/>
      <c r="F24" s="324"/>
    </row>
    <row r="25" spans="1:6">
      <c r="A25" s="1235" t="s">
        <v>15</v>
      </c>
      <c r="B25" s="1236">
        <v>3647</v>
      </c>
      <c r="C25" s="324"/>
      <c r="D25" s="324"/>
      <c r="E25" s="324"/>
      <c r="F25" s="324"/>
    </row>
    <row r="26" spans="1:6">
      <c r="A26" s="1235" t="s">
        <v>16</v>
      </c>
      <c r="B26" s="1236">
        <v>217</v>
      </c>
      <c r="C26" s="324"/>
      <c r="D26" s="324"/>
      <c r="E26" s="324"/>
      <c r="F26" s="324"/>
    </row>
    <row r="27" spans="1:6">
      <c r="A27" s="1235" t="s">
        <v>17</v>
      </c>
      <c r="B27" s="1236">
        <v>776</v>
      </c>
      <c r="C27" s="324"/>
      <c r="D27" s="324"/>
      <c r="E27" s="324"/>
      <c r="F27" s="324"/>
    </row>
    <row r="28" spans="1:6">
      <c r="A28" s="1235" t="s">
        <v>18</v>
      </c>
      <c r="B28" s="1237">
        <v>18250</v>
      </c>
      <c r="C28" s="324"/>
      <c r="D28" s="324"/>
      <c r="E28" s="324"/>
      <c r="F28" s="324"/>
    </row>
    <row r="29" spans="1:6">
      <c r="A29" s="1235" t="s">
        <v>959</v>
      </c>
      <c r="B29" s="1237">
        <v>166</v>
      </c>
      <c r="C29" s="324"/>
      <c r="D29" s="324"/>
      <c r="E29" s="324"/>
      <c r="F29" s="324"/>
    </row>
    <row r="30" spans="1:6">
      <c r="A30" s="1230" t="s">
        <v>960</v>
      </c>
      <c r="B30" s="1238">
        <v>64</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176774.67236995001</v>
      </c>
      <c r="E38" s="1236">
        <v>5</v>
      </c>
      <c r="F38" s="1236">
        <v>106952.76719648601</v>
      </c>
    </row>
    <row r="39" spans="1:6">
      <c r="A39" s="1235" t="s">
        <v>29</v>
      </c>
      <c r="B39" s="1235" t="s">
        <v>30</v>
      </c>
      <c r="C39" s="1236">
        <v>4208</v>
      </c>
      <c r="D39" s="1236">
        <v>68502944.809846401</v>
      </c>
      <c r="E39" s="1236">
        <v>7775</v>
      </c>
      <c r="F39" s="1236">
        <v>40503618.255861796</v>
      </c>
    </row>
    <row r="40" spans="1:6">
      <c r="A40" s="1235" t="s">
        <v>29</v>
      </c>
      <c r="B40" s="1235" t="s">
        <v>28</v>
      </c>
      <c r="C40" s="1236">
        <v>0</v>
      </c>
      <c r="D40" s="1236">
        <v>0</v>
      </c>
      <c r="E40" s="1236">
        <v>0</v>
      </c>
      <c r="F40" s="1236">
        <v>0</v>
      </c>
    </row>
    <row r="41" spans="1:6">
      <c r="A41" s="1235" t="s">
        <v>31</v>
      </c>
      <c r="B41" s="1235" t="s">
        <v>32</v>
      </c>
      <c r="C41" s="1236">
        <v>40</v>
      </c>
      <c r="D41" s="1236">
        <v>931387.338490222</v>
      </c>
      <c r="E41" s="1236">
        <v>151</v>
      </c>
      <c r="F41" s="1236">
        <v>3889790.8967949902</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4</v>
      </c>
      <c r="D44" s="1236">
        <v>83976.791592063702</v>
      </c>
      <c r="E44" s="1236">
        <v>18</v>
      </c>
      <c r="F44" s="1236">
        <v>238101.81410703101</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6</v>
      </c>
      <c r="D47" s="1236">
        <v>222212.38145539101</v>
      </c>
      <c r="E47" s="1236">
        <v>11</v>
      </c>
      <c r="F47" s="1236">
        <v>118140.788936863</v>
      </c>
    </row>
    <row r="48" spans="1:6">
      <c r="A48" s="1235" t="s">
        <v>31</v>
      </c>
      <c r="B48" s="1235" t="s">
        <v>28</v>
      </c>
      <c r="C48" s="1236">
        <v>28</v>
      </c>
      <c r="D48" s="1236">
        <v>21119284.102709901</v>
      </c>
      <c r="E48" s="1236">
        <v>28</v>
      </c>
      <c r="F48" s="1236">
        <v>2050406.91600919</v>
      </c>
    </row>
    <row r="49" spans="1:6">
      <c r="A49" s="1235" t="s">
        <v>31</v>
      </c>
      <c r="B49" s="1235" t="s">
        <v>39</v>
      </c>
      <c r="C49" s="1236">
        <v>0</v>
      </c>
      <c r="D49" s="1236">
        <v>0</v>
      </c>
      <c r="E49" s="1236">
        <v>0</v>
      </c>
      <c r="F49" s="1236">
        <v>0</v>
      </c>
    </row>
    <row r="50" spans="1:6">
      <c r="A50" s="1235" t="s">
        <v>31</v>
      </c>
      <c r="B50" s="1235" t="s">
        <v>40</v>
      </c>
      <c r="C50" s="1236">
        <v>7</v>
      </c>
      <c r="D50" s="1236">
        <v>472129.61055639602</v>
      </c>
      <c r="E50" s="1236">
        <v>16</v>
      </c>
      <c r="F50" s="1236">
        <v>1273260.1794722499</v>
      </c>
    </row>
    <row r="51" spans="1:6">
      <c r="A51" s="1235" t="s">
        <v>41</v>
      </c>
      <c r="B51" s="1235" t="s">
        <v>42</v>
      </c>
      <c r="C51" s="1236">
        <v>113</v>
      </c>
      <c r="D51" s="1236">
        <v>60862818.049432799</v>
      </c>
      <c r="E51" s="1236">
        <v>471</v>
      </c>
      <c r="F51" s="1236">
        <v>13103681.802622801</v>
      </c>
    </row>
    <row r="52" spans="1:6">
      <c r="A52" s="1235" t="s">
        <v>41</v>
      </c>
      <c r="B52" s="1235" t="s">
        <v>28</v>
      </c>
      <c r="C52" s="1236">
        <v>7</v>
      </c>
      <c r="D52" s="1236">
        <v>109203.68858466401</v>
      </c>
      <c r="E52" s="1236">
        <v>3</v>
      </c>
      <c r="F52" s="1236">
        <v>40726.766864215002</v>
      </c>
    </row>
    <row r="53" spans="1:6">
      <c r="A53" s="1235" t="s">
        <v>43</v>
      </c>
      <c r="B53" s="1235" t="s">
        <v>44</v>
      </c>
      <c r="C53" s="1236">
        <v>182</v>
      </c>
      <c r="D53" s="1236">
        <v>3706831.9456819901</v>
      </c>
      <c r="E53" s="1236">
        <v>343</v>
      </c>
      <c r="F53" s="1236">
        <v>2171163.2485820502</v>
      </c>
    </row>
    <row r="54" spans="1:6">
      <c r="A54" s="1235" t="s">
        <v>45</v>
      </c>
      <c r="B54" s="1235" t="s">
        <v>46</v>
      </c>
      <c r="C54" s="1236">
        <v>0</v>
      </c>
      <c r="D54" s="1236">
        <v>0</v>
      </c>
      <c r="E54" s="1236">
        <v>4</v>
      </c>
      <c r="F54" s="1236">
        <v>1713968</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39</v>
      </c>
      <c r="D57" s="1236">
        <v>1685967.5514727801</v>
      </c>
      <c r="E57" s="1236">
        <v>130</v>
      </c>
      <c r="F57" s="1236">
        <v>2070498.64083326</v>
      </c>
    </row>
    <row r="58" spans="1:6">
      <c r="A58" s="1235" t="s">
        <v>48</v>
      </c>
      <c r="B58" s="1235" t="s">
        <v>50</v>
      </c>
      <c r="C58" s="1236">
        <v>16</v>
      </c>
      <c r="D58" s="1236">
        <v>3350150.1529473299</v>
      </c>
      <c r="E58" s="1236">
        <v>38</v>
      </c>
      <c r="F58" s="1236">
        <v>1493260.28437813</v>
      </c>
    </row>
    <row r="59" spans="1:6">
      <c r="A59" s="1235" t="s">
        <v>48</v>
      </c>
      <c r="B59" s="1235" t="s">
        <v>51</v>
      </c>
      <c r="C59" s="1236">
        <v>123</v>
      </c>
      <c r="D59" s="1236">
        <v>7519902.2295977902</v>
      </c>
      <c r="E59" s="1236">
        <v>266</v>
      </c>
      <c r="F59" s="1236">
        <v>12414255.105050299</v>
      </c>
    </row>
    <row r="60" spans="1:6">
      <c r="A60" s="1235" t="s">
        <v>48</v>
      </c>
      <c r="B60" s="1235" t="s">
        <v>52</v>
      </c>
      <c r="C60" s="1236">
        <v>54</v>
      </c>
      <c r="D60" s="1236">
        <v>3444976.5471840799</v>
      </c>
      <c r="E60" s="1236">
        <v>75</v>
      </c>
      <c r="F60" s="1236">
        <v>2370701.99608006</v>
      </c>
    </row>
    <row r="61" spans="1:6">
      <c r="A61" s="1235" t="s">
        <v>48</v>
      </c>
      <c r="B61" s="1235" t="s">
        <v>53</v>
      </c>
      <c r="C61" s="1236">
        <v>129</v>
      </c>
      <c r="D61" s="1236">
        <v>6986215.6783061996</v>
      </c>
      <c r="E61" s="1236">
        <v>291</v>
      </c>
      <c r="F61" s="1236">
        <v>9217166.0387002192</v>
      </c>
    </row>
    <row r="62" spans="1:6">
      <c r="A62" s="1235" t="s">
        <v>48</v>
      </c>
      <c r="B62" s="1235" t="s">
        <v>54</v>
      </c>
      <c r="C62" s="1236">
        <v>10</v>
      </c>
      <c r="D62" s="1236">
        <v>487697.45441728999</v>
      </c>
      <c r="E62" s="1236">
        <v>10</v>
      </c>
      <c r="F62" s="1236">
        <v>95363.375235189102</v>
      </c>
    </row>
    <row r="63" spans="1:6">
      <c r="A63" s="1235" t="s">
        <v>48</v>
      </c>
      <c r="B63" s="1235" t="s">
        <v>28</v>
      </c>
      <c r="C63" s="1236">
        <v>90</v>
      </c>
      <c r="D63" s="1236">
        <v>5999915.9391482901</v>
      </c>
      <c r="E63" s="1236">
        <v>96</v>
      </c>
      <c r="F63" s="1236">
        <v>2722870.00880423</v>
      </c>
    </row>
    <row r="64" spans="1:6">
      <c r="A64" s="1235" t="s">
        <v>55</v>
      </c>
      <c r="B64" s="1235" t="s">
        <v>56</v>
      </c>
      <c r="C64" s="1236">
        <v>0</v>
      </c>
      <c r="D64" s="1236">
        <v>0</v>
      </c>
      <c r="E64" s="1236">
        <v>0</v>
      </c>
      <c r="F64" s="1236">
        <v>0</v>
      </c>
    </row>
    <row r="65" spans="1:6">
      <c r="A65" s="1235" t="s">
        <v>55</v>
      </c>
      <c r="B65" s="1235" t="s">
        <v>28</v>
      </c>
      <c r="C65" s="1236">
        <v>3</v>
      </c>
      <c r="D65" s="1236">
        <v>70018.306639585702</v>
      </c>
      <c r="E65" s="1236">
        <v>2</v>
      </c>
      <c r="F65" s="1236">
        <v>5829.5942286129002</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4</v>
      </c>
      <c r="D68" s="1238">
        <v>109353.177205161</v>
      </c>
      <c r="E68" s="1238">
        <v>24</v>
      </c>
      <c r="F68" s="1238">
        <v>308689.89721300802</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62063550</v>
      </c>
      <c r="E73" s="443"/>
      <c r="F73" s="324"/>
    </row>
    <row r="74" spans="1:6">
      <c r="A74" s="1235" t="s">
        <v>63</v>
      </c>
      <c r="B74" s="1235" t="s">
        <v>730</v>
      </c>
      <c r="C74" s="1248" t="s">
        <v>731</v>
      </c>
      <c r="D74" s="1236">
        <v>7258317.5394345056</v>
      </c>
      <c r="E74" s="443"/>
      <c r="F74" s="324"/>
    </row>
    <row r="75" spans="1:6">
      <c r="A75" s="1235" t="s">
        <v>64</v>
      </c>
      <c r="B75" s="1235" t="s">
        <v>728</v>
      </c>
      <c r="C75" s="1248" t="s">
        <v>732</v>
      </c>
      <c r="D75" s="1236">
        <v>29257298</v>
      </c>
      <c r="E75" s="443"/>
      <c r="F75" s="324"/>
    </row>
    <row r="76" spans="1:6">
      <c r="A76" s="1235" t="s">
        <v>64</v>
      </c>
      <c r="B76" s="1235" t="s">
        <v>730</v>
      </c>
      <c r="C76" s="1248" t="s">
        <v>733</v>
      </c>
      <c r="D76" s="1236">
        <v>1285771.5394345056</v>
      </c>
      <c r="E76" s="443"/>
      <c r="F76" s="324"/>
    </row>
    <row r="77" spans="1:6">
      <c r="A77" s="1235" t="s">
        <v>65</v>
      </c>
      <c r="B77" s="1235" t="s">
        <v>728</v>
      </c>
      <c r="C77" s="1248" t="s">
        <v>734</v>
      </c>
      <c r="D77" s="1236">
        <v>142247459</v>
      </c>
      <c r="E77" s="443"/>
      <c r="F77" s="324"/>
    </row>
    <row r="78" spans="1:6">
      <c r="A78" s="1230" t="s">
        <v>65</v>
      </c>
      <c r="B78" s="1230" t="s">
        <v>730</v>
      </c>
      <c r="C78" s="1230" t="s">
        <v>735</v>
      </c>
      <c r="D78" s="1238">
        <v>34584964</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685372.92113098886</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2594.8249820695487</v>
      </c>
      <c r="C91" s="324"/>
      <c r="D91" s="324"/>
      <c r="E91" s="324"/>
      <c r="F91" s="324"/>
    </row>
    <row r="92" spans="1:6">
      <c r="A92" s="1230" t="s">
        <v>68</v>
      </c>
      <c r="B92" s="1231">
        <v>285.03087467363673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1839</v>
      </c>
      <c r="C97" s="324"/>
      <c r="D97" s="324"/>
      <c r="E97" s="324"/>
      <c r="F97" s="324"/>
    </row>
    <row r="98" spans="1:6">
      <c r="A98" s="1235" t="s">
        <v>71</v>
      </c>
      <c r="B98" s="1236">
        <v>1</v>
      </c>
      <c r="C98" s="324"/>
      <c r="D98" s="324"/>
      <c r="E98" s="324"/>
      <c r="F98" s="324"/>
    </row>
    <row r="99" spans="1:6">
      <c r="A99" s="1235" t="s">
        <v>72</v>
      </c>
      <c r="B99" s="1236">
        <v>88</v>
      </c>
      <c r="C99" s="324"/>
      <c r="D99" s="324"/>
      <c r="E99" s="324"/>
      <c r="F99" s="324"/>
    </row>
    <row r="100" spans="1:6">
      <c r="A100" s="1235" t="s">
        <v>73</v>
      </c>
      <c r="B100" s="1236">
        <v>900</v>
      </c>
      <c r="C100" s="324"/>
      <c r="D100" s="324"/>
      <c r="E100" s="324"/>
      <c r="F100" s="324"/>
    </row>
    <row r="101" spans="1:6">
      <c r="A101" s="1235" t="s">
        <v>74</v>
      </c>
      <c r="B101" s="1236">
        <v>104</v>
      </c>
      <c r="C101" s="324"/>
      <c r="D101" s="324"/>
      <c r="E101" s="324"/>
      <c r="F101" s="324"/>
    </row>
    <row r="102" spans="1:6">
      <c r="A102" s="1235" t="s">
        <v>75</v>
      </c>
      <c r="B102" s="1236">
        <v>110</v>
      </c>
      <c r="C102" s="324"/>
      <c r="D102" s="324"/>
      <c r="E102" s="324"/>
      <c r="F102" s="324"/>
    </row>
    <row r="103" spans="1:6">
      <c r="A103" s="1235" t="s">
        <v>76</v>
      </c>
      <c r="B103" s="1236">
        <v>301</v>
      </c>
      <c r="C103" s="324"/>
      <c r="D103" s="324"/>
      <c r="E103" s="324"/>
      <c r="F103" s="324"/>
    </row>
    <row r="104" spans="1:6">
      <c r="A104" s="1235" t="s">
        <v>77</v>
      </c>
      <c r="B104" s="1236">
        <v>3609</v>
      </c>
      <c r="C104" s="324"/>
      <c r="D104" s="324"/>
      <c r="E104" s="324"/>
      <c r="F104" s="324"/>
    </row>
    <row r="105" spans="1:6">
      <c r="A105" s="1230" t="s">
        <v>78</v>
      </c>
      <c r="B105" s="1238">
        <v>12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6</v>
      </c>
      <c r="C123" s="1236">
        <v>28</v>
      </c>
      <c r="D123" s="324"/>
      <c r="E123" s="324"/>
      <c r="F123" s="324"/>
    </row>
    <row r="124" spans="1:6">
      <c r="A124" s="1235" t="s">
        <v>88</v>
      </c>
      <c r="B124" s="1236">
        <v>3</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88</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6</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98174.78256371968</v>
      </c>
      <c r="C3" s="43" t="s">
        <v>163</v>
      </c>
      <c r="D3" s="43"/>
      <c r="E3" s="155"/>
      <c r="F3" s="43"/>
      <c r="G3" s="43"/>
      <c r="H3" s="43"/>
      <c r="I3" s="43"/>
      <c r="J3" s="43"/>
      <c r="K3" s="96"/>
    </row>
    <row r="4" spans="1:11">
      <c r="A4" s="350" t="s">
        <v>164</v>
      </c>
      <c r="B4" s="49">
        <f>IF(ISERROR('SEAP template'!B78+'SEAP template'!C78),0,'SEAP template'!B78+'SEAP template'!C78)</f>
        <v>7485.6058567431855</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1094.542941176471</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0.21529816966693607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1563.632773109244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6579.6428571428569</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1713.9680000000001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1713.9680000000001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0.21529816966693607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369.01417326769911</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40503.618255861795</v>
      </c>
      <c r="C5" s="17">
        <f>IF(ISERROR('Eigen informatie GS &amp; warmtenet'!B57),0,'Eigen informatie GS &amp; warmtenet'!B57)</f>
        <v>0</v>
      </c>
      <c r="D5" s="30">
        <f>(SUM(HH_hh_gas_kWh,HH_rest_gas_kWh)/1000)*0.902</f>
        <v>61789.656218481461</v>
      </c>
      <c r="E5" s="17">
        <f>B32*B41</f>
        <v>2083.4538259125234</v>
      </c>
      <c r="F5" s="17">
        <f>B36*B45</f>
        <v>71117.43719445981</v>
      </c>
      <c r="G5" s="18"/>
      <c r="H5" s="17"/>
      <c r="I5" s="17"/>
      <c r="J5" s="17">
        <f>B35*B44+C35*C44</f>
        <v>1601.3843824922294</v>
      </c>
      <c r="K5" s="17"/>
      <c r="L5" s="17"/>
      <c r="M5" s="17"/>
      <c r="N5" s="17">
        <f>B34*B43+C34*C43</f>
        <v>10348.567111974126</v>
      </c>
      <c r="O5" s="17">
        <f>B52*B53*B54</f>
        <v>182.91000000000003</v>
      </c>
      <c r="P5" s="17">
        <f>B60*B61*B62/1000-B60*B61*B62/1000/B63</f>
        <v>286</v>
      </c>
    </row>
    <row r="6" spans="1:16">
      <c r="A6" s="16" t="s">
        <v>591</v>
      </c>
      <c r="B6" s="727">
        <f>kWh_PV_kleiner_dan_10kW</f>
        <v>2594.8249820695487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43098.443237931344</v>
      </c>
      <c r="C8" s="21">
        <f>C5</f>
        <v>0</v>
      </c>
      <c r="D8" s="21">
        <f>D5</f>
        <v>61789.656218481461</v>
      </c>
      <c r="E8" s="21">
        <f>E5</f>
        <v>2083.4538259125234</v>
      </c>
      <c r="F8" s="21">
        <f>F5</f>
        <v>71117.43719445981</v>
      </c>
      <c r="G8" s="21"/>
      <c r="H8" s="21"/>
      <c r="I8" s="21"/>
      <c r="J8" s="21">
        <f>J5</f>
        <v>1601.3843824922294</v>
      </c>
      <c r="K8" s="21"/>
      <c r="L8" s="21">
        <f>L5</f>
        <v>0</v>
      </c>
      <c r="M8" s="21">
        <f>M5</f>
        <v>0</v>
      </c>
      <c r="N8" s="21">
        <f>N5</f>
        <v>10348.567111974126</v>
      </c>
      <c r="O8" s="21">
        <f>O5</f>
        <v>182.91000000000003</v>
      </c>
      <c r="P8" s="21">
        <f>P5</f>
        <v>286</v>
      </c>
    </row>
    <row r="9" spans="1:16">
      <c r="B9" s="19"/>
      <c r="C9" s="19"/>
      <c r="D9" s="255"/>
      <c r="E9" s="19"/>
      <c r="F9" s="19"/>
      <c r="G9" s="19"/>
      <c r="H9" s="19"/>
      <c r="I9" s="19"/>
      <c r="J9" s="19"/>
      <c r="K9" s="19"/>
      <c r="L9" s="19"/>
      <c r="M9" s="19"/>
      <c r="N9" s="19"/>
      <c r="O9" s="19"/>
      <c r="P9" s="19"/>
    </row>
    <row r="10" spans="1:16">
      <c r="A10" s="24" t="s">
        <v>207</v>
      </c>
      <c r="B10" s="25">
        <f ca="1">'EF ele_warmte'!B12</f>
        <v>0.21529816966693607</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9279.0159446209564</v>
      </c>
      <c r="C12" s="23">
        <f ca="1">C10*C8</f>
        <v>0</v>
      </c>
      <c r="D12" s="23">
        <f>D8*D10</f>
        <v>12481.510556133257</v>
      </c>
      <c r="E12" s="23">
        <f>E10*E8</f>
        <v>472.94401848214284</v>
      </c>
      <c r="F12" s="23">
        <f>F10*F8</f>
        <v>18988.355730920772</v>
      </c>
      <c r="G12" s="23"/>
      <c r="H12" s="23"/>
      <c r="I12" s="23"/>
      <c r="J12" s="23">
        <f>J10*J8</f>
        <v>566.89007140224919</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8329</v>
      </c>
      <c r="C26" s="36"/>
      <c r="D26" s="225"/>
    </row>
    <row r="27" spans="1:5" s="15" customFormat="1">
      <c r="A27" s="227" t="s">
        <v>671</v>
      </c>
      <c r="B27" s="37">
        <f>SUM(HH_hh_gas_aantal,HH_rest_gas_aantal)</f>
        <v>4208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3997.6</v>
      </c>
      <c r="C31" s="34" t="s">
        <v>104</v>
      </c>
      <c r="D31" s="171"/>
    </row>
    <row r="32" spans="1:5">
      <c r="A32" s="168" t="s">
        <v>72</v>
      </c>
      <c r="B32" s="33">
        <f>IF((B21*($B$26-($B$27-0.05*$B$27)-$B$60))&lt;0,0,B21*($B$26-($B$27-0.05*$B$27)-$B$60))</f>
        <v>30.601414126548427</v>
      </c>
      <c r="C32" s="34" t="s">
        <v>104</v>
      </c>
      <c r="D32" s="171"/>
    </row>
    <row r="33" spans="1:6">
      <c r="A33" s="168" t="s">
        <v>73</v>
      </c>
      <c r="B33" s="33">
        <f>IF((B22*($B$26-($B$27-0.05*$B$27)-$B$60))&lt;0,0,B22*($B$26-($B$27-0.05*$B$27)-$B$60))</f>
        <v>877.03236540917385</v>
      </c>
      <c r="C33" s="34" t="s">
        <v>104</v>
      </c>
      <c r="D33" s="171"/>
    </row>
    <row r="34" spans="1:6">
      <c r="A34" s="168" t="s">
        <v>74</v>
      </c>
      <c r="B34" s="33">
        <f>IF((B24*($B$26-($B$27-0.05*$B$27)-$B$60))&lt;0,0,B24*($B$26-($B$27-0.05*$B$27)-$B$60))</f>
        <v>174.88952242049149</v>
      </c>
      <c r="C34" s="33">
        <f>B26*C24</f>
        <v>1703.0940530861635</v>
      </c>
      <c r="D34" s="230"/>
    </row>
    <row r="35" spans="1:6">
      <c r="A35" s="168" t="s">
        <v>76</v>
      </c>
      <c r="B35" s="33">
        <f>IF((B19*($B$26-($B$27-0.05*$B$27)-$B$60))&lt;0,0,B19*($B$26-($B$27-0.05*$B$27)-$B$60))</f>
        <v>91.075637281394137</v>
      </c>
      <c r="C35" s="33">
        <f>B35/2</f>
        <v>45.537818640697068</v>
      </c>
      <c r="D35" s="230"/>
    </row>
    <row r="36" spans="1:6">
      <c r="A36" s="168" t="s">
        <v>77</v>
      </c>
      <c r="B36" s="33">
        <f>IF((B18*($B$26-($B$27-0.05*$B$27)-$B$60))&lt;0,0,B18*($B$26-($B$27-0.05*$B$27)-$B$60))</f>
        <v>3142.8010607623919</v>
      </c>
      <c r="C36" s="34" t="s">
        <v>104</v>
      </c>
      <c r="D36" s="171"/>
    </row>
    <row r="37" spans="1:6">
      <c r="A37" s="168" t="s">
        <v>78</v>
      </c>
      <c r="B37" s="33">
        <f>B60</f>
        <v>15</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117</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15</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30384.11544908139</v>
      </c>
      <c r="C5" s="17">
        <f>IF(ISERROR('Eigen informatie GS &amp; warmtenet'!B58),0,'Eigen informatie GS &amp; warmtenet'!B58)</f>
        <v>0</v>
      </c>
      <c r="D5" s="30">
        <f>SUM(D6:D12)</f>
        <v>26586.292648872535</v>
      </c>
      <c r="E5" s="17">
        <f>SUM(E6:E12)</f>
        <v>583.17386955731672</v>
      </c>
      <c r="F5" s="17">
        <f>SUM(F6:F12)</f>
        <v>5216.2997436614187</v>
      </c>
      <c r="G5" s="18"/>
      <c r="H5" s="17"/>
      <c r="I5" s="17"/>
      <c r="J5" s="17">
        <f>SUM(J6:J12)</f>
        <v>0</v>
      </c>
      <c r="K5" s="17"/>
      <c r="L5" s="17"/>
      <c r="M5" s="17"/>
      <c r="N5" s="17">
        <f>SUM(N6:N12)</f>
        <v>670.18168385335537</v>
      </c>
      <c r="O5" s="17">
        <f>B38*B39*B40</f>
        <v>1.5633333333333335</v>
      </c>
      <c r="P5" s="17">
        <f>B46*B47*B48/1000-B46*B47*B48/1000/B49</f>
        <v>19.066666666666666</v>
      </c>
      <c r="R5" s="32"/>
    </row>
    <row r="6" spans="1:18">
      <c r="A6" s="32" t="s">
        <v>53</v>
      </c>
      <c r="B6" s="37">
        <f>B26</f>
        <v>9217.1660387002194</v>
      </c>
      <c r="C6" s="33"/>
      <c r="D6" s="37">
        <f>IF(ISERROR(TER_kantoor_gas_kWh/1000),0,TER_kantoor_gas_kWh/1000)*0.902</f>
        <v>6301.5665418321923</v>
      </c>
      <c r="E6" s="33">
        <f>$C$26*'E Balans VL '!I12/100/3.6*1000000</f>
        <v>318.84030852644901</v>
      </c>
      <c r="F6" s="33">
        <f>$C$26*('E Balans VL '!L12+'E Balans VL '!N12)/100/3.6*1000000</f>
        <v>1407.0982679126948</v>
      </c>
      <c r="G6" s="34"/>
      <c r="H6" s="33"/>
      <c r="I6" s="33"/>
      <c r="J6" s="33">
        <f>$C$26*('E Balans VL '!D12+'E Balans VL '!E12)/100/3.6*1000000</f>
        <v>0</v>
      </c>
      <c r="K6" s="33"/>
      <c r="L6" s="33"/>
      <c r="M6" s="33"/>
      <c r="N6" s="33">
        <f>$C$26*'E Balans VL '!Y12/100/3.6*1000000</f>
        <v>142.08699602261515</v>
      </c>
      <c r="O6" s="33"/>
      <c r="P6" s="33"/>
      <c r="R6" s="32"/>
    </row>
    <row r="7" spans="1:18">
      <c r="A7" s="32" t="s">
        <v>52</v>
      </c>
      <c r="B7" s="37">
        <f t="shared" ref="B7:B12" si="0">B27</f>
        <v>2370.7019960800599</v>
      </c>
      <c r="C7" s="33"/>
      <c r="D7" s="37">
        <f>IF(ISERROR(TER_horeca_gas_kWh/1000),0,TER_horeca_gas_kWh/1000)*0.902</f>
        <v>3107.36884556004</v>
      </c>
      <c r="E7" s="33">
        <f>$C$27*'E Balans VL '!I9/100/3.6*1000000</f>
        <v>129.92200260624975</v>
      </c>
      <c r="F7" s="33">
        <f>$C$27*('E Balans VL '!L9+'E Balans VL '!N9)/100/3.6*1000000</f>
        <v>401.20207736153344</v>
      </c>
      <c r="G7" s="34"/>
      <c r="H7" s="33"/>
      <c r="I7" s="33"/>
      <c r="J7" s="33">
        <f>$C$27*('E Balans VL '!D9+'E Balans VL '!E9)/100/3.6*1000000</f>
        <v>0</v>
      </c>
      <c r="K7" s="33"/>
      <c r="L7" s="33"/>
      <c r="M7" s="33"/>
      <c r="N7" s="33">
        <f>$C$27*'E Balans VL '!Y9/100/3.6*1000000</f>
        <v>0</v>
      </c>
      <c r="O7" s="33"/>
      <c r="P7" s="33"/>
      <c r="R7" s="32"/>
    </row>
    <row r="8" spans="1:18">
      <c r="A8" s="6" t="s">
        <v>51</v>
      </c>
      <c r="B8" s="37">
        <f t="shared" si="0"/>
        <v>12414.255105050299</v>
      </c>
      <c r="C8" s="33"/>
      <c r="D8" s="37">
        <f>IF(ISERROR(TER_handel_gas_kWh/1000),0,TER_handel_gas_kWh/1000)*0.902</f>
        <v>6782.9518110972067</v>
      </c>
      <c r="E8" s="33">
        <f>$C$28*'E Balans VL '!I13/100/3.6*1000000</f>
        <v>62.805836303609311</v>
      </c>
      <c r="F8" s="33">
        <f>$C$28*('E Balans VL '!L13+'E Balans VL '!N13)/100/3.6*1000000</f>
        <v>1886.2489685743597</v>
      </c>
      <c r="G8" s="34"/>
      <c r="H8" s="33"/>
      <c r="I8" s="33"/>
      <c r="J8" s="33">
        <f>$C$28*('E Balans VL '!D13+'E Balans VL '!E13)/100/3.6*1000000</f>
        <v>0</v>
      </c>
      <c r="K8" s="33"/>
      <c r="L8" s="33"/>
      <c r="M8" s="33"/>
      <c r="N8" s="33">
        <f>$C$28*'E Balans VL '!Y13/100/3.6*1000000</f>
        <v>5.8052380078201251</v>
      </c>
      <c r="O8" s="33"/>
      <c r="P8" s="33"/>
      <c r="R8" s="32"/>
    </row>
    <row r="9" spans="1:18">
      <c r="A9" s="32" t="s">
        <v>50</v>
      </c>
      <c r="B9" s="37">
        <f t="shared" si="0"/>
        <v>1493.2602843781299</v>
      </c>
      <c r="C9" s="33"/>
      <c r="D9" s="37">
        <f>IF(ISERROR(TER_gezond_gas_kWh/1000),0,TER_gezond_gas_kWh/1000)*0.902</f>
        <v>3021.8354379584916</v>
      </c>
      <c r="E9" s="33">
        <f>$C$29*'E Balans VL '!I10/100/3.6*1000000</f>
        <v>0.54301762054933256</v>
      </c>
      <c r="F9" s="33">
        <f>$C$29*('E Balans VL '!L10+'E Balans VL '!N10)/100/3.6*1000000</f>
        <v>322.65319634133294</v>
      </c>
      <c r="G9" s="34"/>
      <c r="H9" s="33"/>
      <c r="I9" s="33"/>
      <c r="J9" s="33">
        <f>$C$29*('E Balans VL '!D10+'E Balans VL '!E10)/100/3.6*1000000</f>
        <v>0</v>
      </c>
      <c r="K9" s="33"/>
      <c r="L9" s="33"/>
      <c r="M9" s="33"/>
      <c r="N9" s="33">
        <f>$C$29*'E Balans VL '!Y10/100/3.6*1000000</f>
        <v>11.322308595151208</v>
      </c>
      <c r="O9" s="33"/>
      <c r="P9" s="33"/>
      <c r="R9" s="32"/>
    </row>
    <row r="10" spans="1:18">
      <c r="A10" s="32" t="s">
        <v>49</v>
      </c>
      <c r="B10" s="37">
        <f t="shared" si="0"/>
        <v>2070.4986408332602</v>
      </c>
      <c r="C10" s="33"/>
      <c r="D10" s="37">
        <f>IF(ISERROR(TER_ander_gas_kWh/1000),0,TER_ander_gas_kWh/1000)*0.902</f>
        <v>1520.7427314284478</v>
      </c>
      <c r="E10" s="33">
        <f>$C$30*'E Balans VL '!I14/100/3.6*1000000</f>
        <v>12.604468402827015</v>
      </c>
      <c r="F10" s="33">
        <f>$C$30*('E Balans VL '!L14+'E Balans VL '!N14)/100/3.6*1000000</f>
        <v>548.16332887132728</v>
      </c>
      <c r="G10" s="34"/>
      <c r="H10" s="33"/>
      <c r="I10" s="33"/>
      <c r="J10" s="33">
        <f>$C$30*('E Balans VL '!D14+'E Balans VL '!E14)/100/3.6*1000000</f>
        <v>0</v>
      </c>
      <c r="K10" s="33"/>
      <c r="L10" s="33"/>
      <c r="M10" s="33"/>
      <c r="N10" s="33">
        <f>$C$30*'E Balans VL '!Y14/100/3.6*1000000</f>
        <v>431.23117111484652</v>
      </c>
      <c r="O10" s="33"/>
      <c r="P10" s="33"/>
      <c r="R10" s="32"/>
    </row>
    <row r="11" spans="1:18">
      <c r="A11" s="32" t="s">
        <v>54</v>
      </c>
      <c r="B11" s="37">
        <f t="shared" si="0"/>
        <v>95.363375235189096</v>
      </c>
      <c r="C11" s="33"/>
      <c r="D11" s="37">
        <f>IF(ISERROR(TER_onderwijs_gas_kWh/1000),0,TER_onderwijs_gas_kWh/1000)*0.902</f>
        <v>439.90310388439559</v>
      </c>
      <c r="E11" s="33">
        <f>$C$31*'E Balans VL '!I11/100/3.6*1000000</f>
        <v>0.11835420522502944</v>
      </c>
      <c r="F11" s="33">
        <f>$C$31*('E Balans VL '!L11+'E Balans VL '!N11)/100/3.6*1000000</f>
        <v>112.39073062202199</v>
      </c>
      <c r="G11" s="34"/>
      <c r="H11" s="33"/>
      <c r="I11" s="33"/>
      <c r="J11" s="33">
        <f>$C$31*('E Balans VL '!D11+'E Balans VL '!E11)/100/3.6*1000000</f>
        <v>0</v>
      </c>
      <c r="K11" s="33"/>
      <c r="L11" s="33"/>
      <c r="M11" s="33"/>
      <c r="N11" s="33">
        <f>$C$31*'E Balans VL '!Y11/100/3.6*1000000</f>
        <v>0.45773529450026362</v>
      </c>
      <c r="O11" s="33"/>
      <c r="P11" s="33"/>
      <c r="R11" s="32"/>
    </row>
    <row r="12" spans="1:18">
      <c r="A12" s="32" t="s">
        <v>249</v>
      </c>
      <c r="B12" s="37">
        <f t="shared" si="0"/>
        <v>2722.8700088042301</v>
      </c>
      <c r="C12" s="33"/>
      <c r="D12" s="37">
        <f>IF(ISERROR(TER_rest_gas_kWh/1000),0,TER_rest_gas_kWh/1000)*0.902</f>
        <v>5411.9241771117577</v>
      </c>
      <c r="E12" s="33">
        <f>$C$32*'E Balans VL '!I8/100/3.6*1000000</f>
        <v>58.339881892407227</v>
      </c>
      <c r="F12" s="33">
        <f>$C$32*('E Balans VL '!L8+'E Balans VL '!N8)/100/3.6*1000000</f>
        <v>538.54317397814862</v>
      </c>
      <c r="G12" s="34"/>
      <c r="H12" s="33"/>
      <c r="I12" s="33"/>
      <c r="J12" s="33">
        <f>$C$32*('E Balans VL '!D8+'E Balans VL '!E8)/100/3.6*1000000</f>
        <v>0</v>
      </c>
      <c r="K12" s="33"/>
      <c r="L12" s="33"/>
      <c r="M12" s="33"/>
      <c r="N12" s="33">
        <f>$C$32*'E Balans VL '!Y8/100/3.6*1000000</f>
        <v>79.278234818422135</v>
      </c>
      <c r="O12" s="33"/>
      <c r="P12" s="33"/>
      <c r="R12" s="32"/>
    </row>
    <row r="13" spans="1:18">
      <c r="A13" s="16" t="s">
        <v>483</v>
      </c>
      <c r="B13" s="243">
        <f ca="1">'lokale energieproductie'!N39+'lokale energieproductie'!N32</f>
        <v>78.75</v>
      </c>
      <c r="C13" s="243">
        <f ca="1">'lokale energieproductie'!O39+'lokale energieproductie'!O32</f>
        <v>112.5</v>
      </c>
      <c r="D13" s="302">
        <f ca="1">('lokale energieproductie'!P32+'lokale energieproductie'!P39)*(-1)</f>
        <v>-225.00000000000003</v>
      </c>
      <c r="E13" s="244"/>
      <c r="F13" s="302">
        <f ca="1">('lokale energieproductie'!S32+'lokale energieproductie'!S39)*(-1)</f>
        <v>0</v>
      </c>
      <c r="G13" s="245"/>
      <c r="H13" s="244"/>
      <c r="I13" s="244"/>
      <c r="J13" s="244"/>
      <c r="K13" s="244"/>
      <c r="L13" s="302">
        <f ca="1">('lokale energieproductie'!U32+'lokale energieproductie'!T32+'lokale energieproductie'!U39+'lokale energieproductie'!T39)*(-1)</f>
        <v>0</v>
      </c>
      <c r="M13" s="244"/>
      <c r="N13" s="302">
        <f ca="1">('lokale energieproductie'!Q32+'lokale energieproductie'!R32+'lokale energieproductie'!V32+'lokale energieproductie'!Q39+'lokale energieproductie'!R39+'lokale energieproductie'!V39)*(-1)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30462.86544908139</v>
      </c>
      <c r="C16" s="21">
        <f ca="1">C5+C13+C14</f>
        <v>112.5</v>
      </c>
      <c r="D16" s="21">
        <f t="shared" ref="D16:N16" ca="1" si="1">MAX((D5+D13+D14),0)</f>
        <v>26361.292648872535</v>
      </c>
      <c r="E16" s="21">
        <f t="shared" si="1"/>
        <v>583.17386955731672</v>
      </c>
      <c r="F16" s="21">
        <f t="shared" ca="1" si="1"/>
        <v>5216.2997436614187</v>
      </c>
      <c r="G16" s="21">
        <f t="shared" si="1"/>
        <v>0</v>
      </c>
      <c r="H16" s="21">
        <f t="shared" si="1"/>
        <v>0</v>
      </c>
      <c r="I16" s="21">
        <f t="shared" si="1"/>
        <v>0</v>
      </c>
      <c r="J16" s="21">
        <f t="shared" si="1"/>
        <v>0</v>
      </c>
      <c r="K16" s="21">
        <f t="shared" si="1"/>
        <v>0</v>
      </c>
      <c r="L16" s="21">
        <f t="shared" ca="1" si="1"/>
        <v>0</v>
      </c>
      <c r="M16" s="21">
        <f t="shared" si="1"/>
        <v>0</v>
      </c>
      <c r="N16" s="21">
        <f t="shared" ca="1" si="1"/>
        <v>670.18168385335537</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0.21529816966693607</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6558.5991739973697</v>
      </c>
      <c r="C20" s="23">
        <f t="shared" ref="C20:P20" ca="1" si="2">C16*C18</f>
        <v>26.735294117647065</v>
      </c>
      <c r="D20" s="23">
        <f t="shared" ca="1" si="2"/>
        <v>5324.9811150722526</v>
      </c>
      <c r="E20" s="23">
        <f t="shared" si="2"/>
        <v>132.3804683895109</v>
      </c>
      <c r="F20" s="23">
        <f t="shared" ca="1" si="2"/>
        <v>1392.7520315575989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9217.1660387002194</v>
      </c>
      <c r="C26" s="39">
        <f>IF(ISERROR(B26*3.6/1000000/'E Balans VL '!Z12*100),0,B26*3.6/1000000/'E Balans VL '!Z12*100)</f>
        <v>0.19167747215648814</v>
      </c>
      <c r="D26" s="233" t="s">
        <v>676</v>
      </c>
      <c r="F26" s="6"/>
    </row>
    <row r="27" spans="1:18">
      <c r="A27" s="228" t="s">
        <v>52</v>
      </c>
      <c r="B27" s="33">
        <f>IF(ISERROR(TER_horeca_ele_kWh/1000),0,TER_horeca_ele_kWh/1000)</f>
        <v>2370.7019960800599</v>
      </c>
      <c r="C27" s="39">
        <f>IF(ISERROR(B27*3.6/1000000/'E Balans VL '!Z9*100),0,B27*3.6/1000000/'E Balans VL '!Z9*100)</f>
        <v>0.19499192154601455</v>
      </c>
      <c r="D27" s="233" t="s">
        <v>676</v>
      </c>
      <c r="F27" s="6"/>
    </row>
    <row r="28" spans="1:18">
      <c r="A28" s="168" t="s">
        <v>51</v>
      </c>
      <c r="B28" s="33">
        <f>IF(ISERROR(TER_handel_ele_kWh/1000),0,TER_handel_ele_kWh/1000)</f>
        <v>12414.255105050299</v>
      </c>
      <c r="C28" s="39">
        <f>IF(ISERROR(B28*3.6/1000000/'E Balans VL '!Z13*100),0,B28*3.6/1000000/'E Balans VL '!Z13*100)</f>
        <v>0.34362415438599309</v>
      </c>
      <c r="D28" s="233" t="s">
        <v>676</v>
      </c>
      <c r="F28" s="6"/>
    </row>
    <row r="29" spans="1:18">
      <c r="A29" s="228" t="s">
        <v>50</v>
      </c>
      <c r="B29" s="33">
        <f>IF(ISERROR(TER_gezond_ele_kWh/1000),0,TER_gezond_ele_kWh/1000)</f>
        <v>1493.2602843781299</v>
      </c>
      <c r="C29" s="39">
        <f>IF(ISERROR(B29*3.6/1000000/'E Balans VL '!Z10*100),0,B29*3.6/1000000/'E Balans VL '!Z10*100)</f>
        <v>0.17029549679197795</v>
      </c>
      <c r="D29" s="233" t="s">
        <v>676</v>
      </c>
      <c r="F29" s="6"/>
    </row>
    <row r="30" spans="1:18">
      <c r="A30" s="228" t="s">
        <v>49</v>
      </c>
      <c r="B30" s="33">
        <f>IF(ISERROR(TER_ander_ele_kWh/1000),0,TER_ander_ele_kWh/1000)</f>
        <v>2070.4986408332602</v>
      </c>
      <c r="C30" s="39">
        <f>IF(ISERROR(B30*3.6/1000000/'E Balans VL '!Z14*100),0,B30*3.6/1000000/'E Balans VL '!Z14*100)</f>
        <v>0.16026221108110858</v>
      </c>
      <c r="D30" s="233" t="s">
        <v>676</v>
      </c>
      <c r="F30" s="6"/>
    </row>
    <row r="31" spans="1:18">
      <c r="A31" s="228" t="s">
        <v>54</v>
      </c>
      <c r="B31" s="33">
        <f>IF(ISERROR(TER_onderwijs_ele_kWh/1000),0,TER_onderwijs_ele_kWh/1000)</f>
        <v>95.363375235189096</v>
      </c>
      <c r="C31" s="39">
        <f>IF(ISERROR(B31*3.6/1000000/'E Balans VL '!Z11*100),0,B31*3.6/1000000/'E Balans VL '!Z11*100)</f>
        <v>2.9713423855908059E-2</v>
      </c>
      <c r="D31" s="233" t="s">
        <v>676</v>
      </c>
    </row>
    <row r="32" spans="1:18">
      <c r="A32" s="228" t="s">
        <v>249</v>
      </c>
      <c r="B32" s="33">
        <f>IF(ISERROR(TER_rest_ele_kWh/1000),0,TER_rest_ele_kWh/1000)</f>
        <v>2722.8700088042301</v>
      </c>
      <c r="C32" s="39">
        <f>IF(ISERROR(B32*3.6/1000000/'E Balans VL '!Z8*100),0,B32*3.6/1000000/'E Balans VL '!Z8*100)</f>
        <v>2.2453003106258595E-2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7569.7005953203243</v>
      </c>
      <c r="C5" s="17">
        <f>IF(ISERROR('Eigen informatie GS &amp; warmtenet'!B59),0,'Eigen informatie GS &amp; warmtenet'!B59)</f>
        <v>0</v>
      </c>
      <c r="D5" s="30">
        <f>SUM(D6:D15)</f>
        <v>20591.749182773186</v>
      </c>
      <c r="E5" s="17">
        <f>SUM(E6:E15)</f>
        <v>100.76291020064411</v>
      </c>
      <c r="F5" s="17">
        <f>SUM(F6:F15)</f>
        <v>3707.3540807588233</v>
      </c>
      <c r="G5" s="18"/>
      <c r="H5" s="17"/>
      <c r="I5" s="17"/>
      <c r="J5" s="17">
        <f>SUM(J6:J15)</f>
        <v>24.313610604529302</v>
      </c>
      <c r="K5" s="17"/>
      <c r="L5" s="17"/>
      <c r="M5" s="17"/>
      <c r="N5" s="17">
        <f>SUM(N6:N15)</f>
        <v>344.7139563334128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238.101814107031</v>
      </c>
      <c r="C8" s="33"/>
      <c r="D8" s="37">
        <f>IF( ISERROR(IND_metaal_Gas_kWH/1000),0,IND_metaal_Gas_kWH/1000)*0.902</f>
        <v>75.747066016041458</v>
      </c>
      <c r="E8" s="33">
        <f>C30*'E Balans VL '!I18/100/3.6*1000000</f>
        <v>1.6730889129478155</v>
      </c>
      <c r="F8" s="33">
        <f>C30*'E Balans VL '!L18/100/3.6*1000000+C30*'E Balans VL '!N18/100/3.6*1000000</f>
        <v>26.142186156225304</v>
      </c>
      <c r="G8" s="34"/>
      <c r="H8" s="33"/>
      <c r="I8" s="33"/>
      <c r="J8" s="40">
        <f>C30*'E Balans VL '!D18/100/3.6*1000000+C30*'E Balans VL '!E18/100/3.6*1000000</f>
        <v>4.9125536277191717</v>
      </c>
      <c r="K8" s="33"/>
      <c r="L8" s="33"/>
      <c r="M8" s="33"/>
      <c r="N8" s="33">
        <f>C30*'E Balans VL '!Y18/100/3.6*1000000</f>
        <v>0.89242274734741101</v>
      </c>
      <c r="O8" s="33"/>
      <c r="P8" s="33"/>
      <c r="R8" s="32"/>
    </row>
    <row r="9" spans="1:18">
      <c r="A9" s="6" t="s">
        <v>32</v>
      </c>
      <c r="B9" s="37">
        <f t="shared" si="0"/>
        <v>3889.7908967949902</v>
      </c>
      <c r="C9" s="33"/>
      <c r="D9" s="37">
        <f>IF( ISERROR(IND_andere_gas_kWh/1000),0,IND_andere_gas_kWh/1000)*0.902</f>
        <v>840.11137931818018</v>
      </c>
      <c r="E9" s="33">
        <f>C31*'E Balans VL '!I19/100/3.6*1000000</f>
        <v>65.333803257663078</v>
      </c>
      <c r="F9" s="33">
        <f>C31*'E Balans VL '!L19/100/3.6*1000000+C31*'E Balans VL '!N19/100/3.6*1000000</f>
        <v>3040.816977167141</v>
      </c>
      <c r="G9" s="34"/>
      <c r="H9" s="33"/>
      <c r="I9" s="33"/>
      <c r="J9" s="40">
        <f>C31*'E Balans VL '!D19/100/3.6*1000000+C31*'E Balans VL '!E19/100/3.6*1000000</f>
        <v>0.35082480220942835</v>
      </c>
      <c r="K9" s="33"/>
      <c r="L9" s="33"/>
      <c r="M9" s="33"/>
      <c r="N9" s="33">
        <f>C31*'E Balans VL '!Y19/100/3.6*1000000</f>
        <v>288.29591165337644</v>
      </c>
      <c r="O9" s="33"/>
      <c r="P9" s="33"/>
      <c r="R9" s="32"/>
    </row>
    <row r="10" spans="1:18">
      <c r="A10" s="6" t="s">
        <v>40</v>
      </c>
      <c r="B10" s="37">
        <f t="shared" si="0"/>
        <v>1273.26017947225</v>
      </c>
      <c r="C10" s="33"/>
      <c r="D10" s="37">
        <f>IF( ISERROR(IND_voed_gas_kWh/1000),0,IND_voed_gas_kWh/1000)*0.902</f>
        <v>425.86090872186924</v>
      </c>
      <c r="E10" s="33">
        <f>C32*'E Balans VL '!I20/100/3.6*1000000</f>
        <v>11.616696774262669</v>
      </c>
      <c r="F10" s="33">
        <f>C32*'E Balans VL '!L20/100/3.6*1000000+C32*'E Balans VL '!N20/100/3.6*1000000</f>
        <v>205.41669219663322</v>
      </c>
      <c r="G10" s="34"/>
      <c r="H10" s="33"/>
      <c r="I10" s="33"/>
      <c r="J10" s="40">
        <f>C32*'E Balans VL '!D20/100/3.6*1000000+C32*'E Balans VL '!E20/100/3.6*1000000</f>
        <v>5.2441202088484546</v>
      </c>
      <c r="K10" s="33"/>
      <c r="L10" s="33"/>
      <c r="M10" s="33"/>
      <c r="N10" s="33">
        <f>C32*'E Balans VL '!Y20/100/3.6*1000000</f>
        <v>18.626792431849346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118.140788936863</v>
      </c>
      <c r="C13" s="33"/>
      <c r="D13" s="37">
        <f>IF( ISERROR(IND_papier_gas_kWh/1000),0,IND_papier_gas_kWh/1000)*0.902</f>
        <v>200.43556807276269</v>
      </c>
      <c r="E13" s="33">
        <f>C35*'E Balans VL '!I23/100/3.6*1000000</f>
        <v>3.6348837555879001</v>
      </c>
      <c r="F13" s="33">
        <f>C35*'E Balans VL '!L23/100/3.6*1000000+C35*'E Balans VL '!N23/100/3.6*1000000</f>
        <v>25.085418267931377</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2050.4069160091899</v>
      </c>
      <c r="C15" s="33"/>
      <c r="D15" s="37">
        <f>IF( ISERROR(IND_rest_gas_kWh/1000),0,IND_rest_gas_kWh/1000)*0.902</f>
        <v>19049.594260644331</v>
      </c>
      <c r="E15" s="33">
        <f>C37*'E Balans VL '!I15/100/3.6*1000000</f>
        <v>18.504437500182668</v>
      </c>
      <c r="F15" s="33">
        <f>C37*'E Balans VL '!L15/100/3.6*1000000+C37*'E Balans VL '!N15/100/3.6*1000000</f>
        <v>409.89280697089271</v>
      </c>
      <c r="G15" s="34"/>
      <c r="H15" s="33"/>
      <c r="I15" s="33"/>
      <c r="J15" s="40">
        <f>C37*'E Balans VL '!D15/100/3.6*1000000+C37*'E Balans VL '!E15/100/3.6*1000000</f>
        <v>13.806111965752246</v>
      </c>
      <c r="K15" s="33"/>
      <c r="L15" s="33"/>
      <c r="M15" s="33"/>
      <c r="N15" s="33">
        <f>C37*'E Balans VL '!Y15/100/3.6*1000000</f>
        <v>36.898829500839533</v>
      </c>
      <c r="O15" s="33"/>
      <c r="P15" s="33"/>
      <c r="R15" s="32"/>
    </row>
    <row r="16" spans="1:18">
      <c r="A16" s="16" t="s">
        <v>483</v>
      </c>
      <c r="B16" s="243">
        <f>'lokale energieproductie'!N38+'lokale energieproductie'!N31</f>
        <v>0</v>
      </c>
      <c r="C16" s="243">
        <f>'lokale energieproductie'!O38+'lokale energieproductie'!O31</f>
        <v>0</v>
      </c>
      <c r="D16" s="302">
        <f>('lokale energieproductie'!P31+'lokale energieproductie'!P38)*(-1)</f>
        <v>0</v>
      </c>
      <c r="E16" s="244"/>
      <c r="F16" s="302">
        <f>('lokale energieproductie'!S31+'lokale energieproductie'!S38)*(-1)</f>
        <v>0</v>
      </c>
      <c r="G16" s="245"/>
      <c r="H16" s="244"/>
      <c r="I16" s="244"/>
      <c r="J16" s="244"/>
      <c r="K16" s="244"/>
      <c r="L16" s="302">
        <f>('lokale energieproductie'!T31+'lokale energieproductie'!U31+'lokale energieproductie'!T38+'lokale energieproductie'!U38)*(-1)</f>
        <v>0</v>
      </c>
      <c r="M16" s="244"/>
      <c r="N16" s="302">
        <f>('lokale energieproductie'!Q31+'lokale energieproductie'!R31+'lokale energieproductie'!V31+'lokale energieproductie'!Q38+'lokale energieproductie'!R38+'lokale energieproductie'!V38)*(-1)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7569.7005953203243</v>
      </c>
      <c r="C18" s="21">
        <f>C5+C16</f>
        <v>0</v>
      </c>
      <c r="D18" s="21">
        <f>MAX((D5+D16),0)</f>
        <v>20591.749182773186</v>
      </c>
      <c r="E18" s="21">
        <f>MAX((E5+E16),0)</f>
        <v>100.76291020064411</v>
      </c>
      <c r="F18" s="21">
        <f>MAX((F5+F16),0)</f>
        <v>3707.3540807588233</v>
      </c>
      <c r="G18" s="21"/>
      <c r="H18" s="21"/>
      <c r="I18" s="21"/>
      <c r="J18" s="21">
        <f>MAX((J5+J16),0)</f>
        <v>24.313610604529302</v>
      </c>
      <c r="K18" s="21"/>
      <c r="L18" s="21">
        <f>MAX((L5+L16),0)</f>
        <v>0</v>
      </c>
      <c r="M18" s="21"/>
      <c r="N18" s="21">
        <f>MAX((N5+N16),0)</f>
        <v>344.7139563334128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0.21529816966693607</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1629.7426830991822</v>
      </c>
      <c r="C22" s="23">
        <f ca="1">C18*C20</f>
        <v>0</v>
      </c>
      <c r="D22" s="23">
        <f>D18*D20</f>
        <v>4159.5333349201837</v>
      </c>
      <c r="E22" s="23">
        <f>E18*E20</f>
        <v>22.873180615546215</v>
      </c>
      <c r="F22" s="23">
        <f>F18*F20</f>
        <v>989.86353956260587</v>
      </c>
      <c r="G22" s="23"/>
      <c r="H22" s="23"/>
      <c r="I22" s="23"/>
      <c r="J22" s="23">
        <f>J18*J20</f>
        <v>8.6070181540033719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238.101814107031</v>
      </c>
      <c r="C30" s="39">
        <f>IF(ISERROR(B30*3.6/1000000/'E Balans VL '!Z18*100),0,B30*3.6/1000000/'E Balans VL '!Z18*100)</f>
        <v>1.5850583162256772E-2</v>
      </c>
      <c r="D30" s="233" t="s">
        <v>676</v>
      </c>
    </row>
    <row r="31" spans="1:18">
      <c r="A31" s="6" t="s">
        <v>32</v>
      </c>
      <c r="B31" s="37">
        <f>IF( ISERROR(IND_ander_ele_kWh/1000),0,IND_ander_ele_kWh/1000)</f>
        <v>3889.7908967949902</v>
      </c>
      <c r="C31" s="39">
        <f>IF(ISERROR(B31*3.6/1000000/'E Balans VL '!Z19*100),0,B31*3.6/1000000/'E Balans VL '!Z19*100)</f>
        <v>0.17241901542033336</v>
      </c>
      <c r="D31" s="233" t="s">
        <v>676</v>
      </c>
    </row>
    <row r="32" spans="1:18">
      <c r="A32" s="168" t="s">
        <v>40</v>
      </c>
      <c r="B32" s="37">
        <f>IF( ISERROR(IND_voed_ele_kWh/1000),0,IND_voed_ele_kWh/1000)</f>
        <v>1273.26017947225</v>
      </c>
      <c r="C32" s="39">
        <f>IF(ISERROR(B32*3.6/1000000/'E Balans VL '!Z20*100),0,B32*3.6/1000000/'E Balans VL '!Z20*100)</f>
        <v>4.2530542505100785E-2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118.140788936863</v>
      </c>
      <c r="C35" s="39">
        <f>IF(ISERROR(B35*3.6/1000000/'E Balans VL '!Z22*100),0,B35*3.6/1000000/'E Balans VL '!Z22*100)</f>
        <v>2.2977085745419269E-2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2050.4069160091899</v>
      </c>
      <c r="C37" s="39">
        <f>IF(ISERROR(B37*3.6/1000000/'E Balans VL '!Z15*100),0,B37*3.6/1000000/'E Balans VL '!Z15*100)</f>
        <v>1.5251687056507019E-2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13144.408569487015</v>
      </c>
      <c r="C5" s="17">
        <f>'Eigen informatie GS &amp; warmtenet'!B60</f>
        <v>0</v>
      </c>
      <c r="D5" s="30">
        <f>IF(ISERROR(SUM(LB_lb_gas_kWh,LB_rest_gas_kWh)/1000),0,SUM(LB_lb_gas_kWh,LB_rest_gas_kWh)/1000)*0.902</f>
        <v>54996.763607691755</v>
      </c>
      <c r="E5" s="17">
        <f>B17*'E Balans VL '!I25/3.6*1000000/100</f>
        <v>118.44779999551825</v>
      </c>
      <c r="F5" s="17">
        <f>B17*('E Balans VL '!L25/3.6*1000000+'E Balans VL '!N25/3.6*1000000)/100</f>
        <v>49252.499801054204</v>
      </c>
      <c r="G5" s="18"/>
      <c r="H5" s="17"/>
      <c r="I5" s="17"/>
      <c r="J5" s="17">
        <f>('E Balans VL '!D25+'E Balans VL '!E25)/3.6*1000000*landbouw!B17/100</f>
        <v>1330.1597834762561</v>
      </c>
      <c r="K5" s="17"/>
      <c r="L5" s="17">
        <f>L6*(-1)</f>
        <v>0</v>
      </c>
      <c r="M5" s="17"/>
      <c r="N5" s="17">
        <f>N6*(-1)</f>
        <v>0</v>
      </c>
      <c r="O5" s="17"/>
      <c r="P5" s="17"/>
      <c r="R5" s="32"/>
    </row>
    <row r="6" spans="1:18">
      <c r="A6" s="16" t="s">
        <v>483</v>
      </c>
      <c r="B6" s="17" t="s">
        <v>204</v>
      </c>
      <c r="C6" s="17">
        <f>'lokale energieproductie'!O40+'lokale energieproductie'!O33</f>
        <v>6467.1428571428569</v>
      </c>
      <c r="D6" s="302">
        <f>('lokale energieproductie'!P33+'lokale energieproductie'!P40)*(-1)</f>
        <v>-12934.285714285716</v>
      </c>
      <c r="E6" s="244"/>
      <c r="F6" s="302">
        <f>('lokale energieproductie'!S33+'lokale energieproductie'!S40)*(-1)</f>
        <v>0</v>
      </c>
      <c r="G6" s="245"/>
      <c r="H6" s="244"/>
      <c r="I6" s="244"/>
      <c r="J6" s="244"/>
      <c r="K6" s="244"/>
      <c r="L6" s="302">
        <f>('lokale energieproductie'!T33+'lokale energieproductie'!U33+'lokale energieproductie'!T40+'lokale energieproductie'!U40)*(-1)</f>
        <v>0</v>
      </c>
      <c r="M6" s="244"/>
      <c r="N6" s="302">
        <f>('lokale energieproductie'!V33+'lokale energieproductie'!R33+'lokale energieproductie'!Q33+'lokale energieproductie'!Q40+'lokale energieproductie'!R40+'lokale energieproductie'!V40)*(-1)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13144.408569487015</v>
      </c>
      <c r="C8" s="21">
        <f>C5+C6</f>
        <v>6467.1428571428569</v>
      </c>
      <c r="D8" s="21">
        <f>MAX((D5+D6),0)</f>
        <v>42062.477893406038</v>
      </c>
      <c r="E8" s="21">
        <f>MAX((E5+E6),0)</f>
        <v>118.44779999551825</v>
      </c>
      <c r="F8" s="21">
        <f>MAX((F5+F6),0)</f>
        <v>49252.499801054204</v>
      </c>
      <c r="G8" s="21"/>
      <c r="H8" s="21"/>
      <c r="I8" s="21"/>
      <c r="J8" s="21">
        <f>MAX((J5+J6),0)</f>
        <v>1330.1597834762561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0.21529816966693607</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2829.9671063649439</v>
      </c>
      <c r="C12" s="23">
        <f ca="1">C8*C10</f>
        <v>1536.8974789915969</v>
      </c>
      <c r="D12" s="23">
        <f>D8*D10</f>
        <v>8496.6205344680202</v>
      </c>
      <c r="E12" s="23">
        <f>E8*E10</f>
        <v>26.887650598982646</v>
      </c>
      <c r="F12" s="23">
        <f>F8*F10</f>
        <v>13150.417446881473</v>
      </c>
      <c r="G12" s="23"/>
      <c r="H12" s="23"/>
      <c r="I12" s="23"/>
      <c r="J12" s="23">
        <f>J8*J10</f>
        <v>470.87656335059461</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2.0231782128190847</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667.0213833874609</v>
      </c>
      <c r="C26" s="243">
        <f>B26*'GWP N2O_CH4'!B5</f>
        <v>14007.449051136678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199.11000115885415</v>
      </c>
      <c r="C27" s="243">
        <f>B27*'GWP N2O_CH4'!B5</f>
        <v>4181.3100243359368</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10.612647228477087</v>
      </c>
      <c r="C28" s="243">
        <f>B28*'GWP N2O_CH4'!B4</f>
        <v>3289.9206408278969</v>
      </c>
      <c r="D28" s="50"/>
    </row>
    <row r="29" spans="1:4">
      <c r="A29" s="41" t="s">
        <v>266</v>
      </c>
      <c r="B29" s="243">
        <f>B34*'ha_N2O bodem landbouw'!B4</f>
        <v>19.156504551444655</v>
      </c>
      <c r="C29" s="243">
        <f>B29*'GWP N2O_CH4'!B4</f>
        <v>5938.5164109478428</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4.9736227005358728E-3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9.7728387564566086E-6</v>
      </c>
      <c r="C5" s="431" t="s">
        <v>204</v>
      </c>
      <c r="D5" s="416">
        <f>SUM(D6:D11)</f>
        <v>3.0254051728064288E-5</v>
      </c>
      <c r="E5" s="416">
        <f>SUM(E6:E11)</f>
        <v>3.5244471409896058E-3</v>
      </c>
      <c r="F5" s="429" t="s">
        <v>204</v>
      </c>
      <c r="G5" s="416">
        <f>SUM(G6:G11)</f>
        <v>0.84362995494038984</v>
      </c>
      <c r="H5" s="416">
        <f>SUM(H6:H11)</f>
        <v>0.10813913373305528</v>
      </c>
      <c r="I5" s="431" t="s">
        <v>204</v>
      </c>
      <c r="J5" s="431" t="s">
        <v>204</v>
      </c>
      <c r="K5" s="431" t="s">
        <v>204</v>
      </c>
      <c r="L5" s="431" t="s">
        <v>204</v>
      </c>
      <c r="M5" s="416">
        <f>SUM(M6:M11)</f>
        <v>4.1319992942145715E-2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2.3585079560219403E-6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7.4445757992327204E-6</v>
      </c>
      <c r="E6" s="419">
        <f>vkm_GW_PW*SUMIFS(TableVerdeelsleutelVkm[LPG],TableVerdeelsleutelVkm[Voertuigtype],"Lichte voertuigen")*SUMIFS(TableECFTransport[EnergieConsumptieFactor (PJ per km)],TableECFTransport[Index],CONCATENATE($A6,"_LPG_LPG"))</f>
        <v>7.7318219629306836E-4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0.10320628682410522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2.5920971738195735E-2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5.6390565807785658E-3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1.5094079048934669E-7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6.8040414535307986E-2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2.0020452089904747E-6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2.9312167091761075E-3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1.1118211914191953E-6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5.9522967974746856E-6</v>
      </c>
      <c r="E8" s="419">
        <f>vkm_NGW_PW*SUMIFS(TableVerdeelsleutelVkm[LPG],TableVerdeelsleutelVkm[Voertuigtype],"Lichte voertuigen")*SUMIFS(TableECFTransport[EnergieConsumptieFactor (PJ per km)],TableECFTransport[Index],CONCATENATE($A8,"_LPG_LPG"))</f>
        <v>5.8183785473797677E-4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7.3881688297039713E-2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1.9573966273382478E-2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4.0836556337526435E-3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2.6738341426444243E-8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1.6695284018430047E-2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4.2807332985704556E-7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7.192386756893689E-4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5.4056167231072786E-6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1.6857179131356881E-5</v>
      </c>
      <c r="E10" s="419">
        <f>vkm_SW_PW*SUMIFS(TableVerdeelsleutelVkm[LPG],TableVerdeelsleutelVkm[Voertuigtype],"Lichte voertuigen")*SUMIFS(TableECFTransport[EnergieConsumptieFactor (PJ per km)],TableECFTransport[Index],CONCATENATE($A10,"_LPG_LPG"))</f>
        <v>2.1694270899585608E-3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0.26897648906670424</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6.2631946864667332E-2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1.4469925726135592E-2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7.1921375399240365E-7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0.31282979219880258</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9.8187382708768356E-6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1.3476899616613433E-2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2.7146774323490579</v>
      </c>
      <c r="C14" s="21"/>
      <c r="D14" s="21">
        <f t="shared" ref="D14:M14" si="0">((D5)*10^9/3600)+D12</f>
        <v>8.4039032577956352</v>
      </c>
      <c r="E14" s="21">
        <f t="shared" si="0"/>
        <v>979.01309471933496</v>
      </c>
      <c r="F14" s="21"/>
      <c r="G14" s="21">
        <f t="shared" si="0"/>
        <v>234341.65415010831</v>
      </c>
      <c r="H14" s="21">
        <f t="shared" si="0"/>
        <v>30038.64825918202</v>
      </c>
      <c r="I14" s="21"/>
      <c r="J14" s="21"/>
      <c r="K14" s="21"/>
      <c r="L14" s="21"/>
      <c r="M14" s="21">
        <f t="shared" si="0"/>
        <v>11477.775817262698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0.21529816966693607</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0.58446508242088979</v>
      </c>
      <c r="C18" s="23"/>
      <c r="D18" s="23">
        <f t="shared" ref="D18:M18" si="1">D14*D16</f>
        <v>1.6975884580747185</v>
      </c>
      <c r="E18" s="23">
        <f t="shared" si="1"/>
        <v>222.23597250128904</v>
      </c>
      <c r="F18" s="23"/>
      <c r="G18" s="23">
        <f t="shared" si="1"/>
        <v>62569.221658078925</v>
      </c>
      <c r="H18" s="23">
        <f t="shared" si="1"/>
        <v>7479.623416536323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4.1467629186790343E-5</v>
      </c>
      <c r="C50" s="313">
        <f t="shared" ref="C50:P50" si="2">SUM(C51:C52)</f>
        <v>0</v>
      </c>
      <c r="D50" s="313">
        <f t="shared" si="2"/>
        <v>0</v>
      </c>
      <c r="E50" s="313">
        <f t="shared" si="2"/>
        <v>0</v>
      </c>
      <c r="F50" s="313">
        <f t="shared" si="2"/>
        <v>0</v>
      </c>
      <c r="G50" s="313">
        <f t="shared" si="2"/>
        <v>8.9959858229508409E-3</v>
      </c>
      <c r="H50" s="313">
        <f t="shared" si="2"/>
        <v>0</v>
      </c>
      <c r="I50" s="313">
        <f t="shared" si="2"/>
        <v>0</v>
      </c>
      <c r="J50" s="313">
        <f t="shared" si="2"/>
        <v>0</v>
      </c>
      <c r="K50" s="313">
        <f t="shared" si="2"/>
        <v>0</v>
      </c>
      <c r="L50" s="313">
        <f t="shared" si="2"/>
        <v>0</v>
      </c>
      <c r="M50" s="313">
        <f t="shared" si="2"/>
        <v>3.8517355711695911E-4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4.1467629186790343E-5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8.9959858229508409E-3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3.8517355711695911E-4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11.51878588521954</v>
      </c>
      <c r="C54" s="21">
        <f t="shared" ref="C54:P54" si="3">(C50)*10^9/3600</f>
        <v>0</v>
      </c>
      <c r="D54" s="21">
        <f t="shared" si="3"/>
        <v>0</v>
      </c>
      <c r="E54" s="21">
        <f t="shared" si="3"/>
        <v>0</v>
      </c>
      <c r="F54" s="21">
        <f t="shared" si="3"/>
        <v>0</v>
      </c>
      <c r="G54" s="21">
        <f t="shared" si="3"/>
        <v>2498.8849508196777</v>
      </c>
      <c r="H54" s="21">
        <f t="shared" si="3"/>
        <v>0</v>
      </c>
      <c r="I54" s="21">
        <f t="shared" si="3"/>
        <v>0</v>
      </c>
      <c r="J54" s="21">
        <f t="shared" si="3"/>
        <v>0</v>
      </c>
      <c r="K54" s="21">
        <f t="shared" si="3"/>
        <v>0</v>
      </c>
      <c r="L54" s="21">
        <f t="shared" si="3"/>
        <v>0</v>
      </c>
      <c r="M54" s="21">
        <f t="shared" si="3"/>
        <v>106.99265475471087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0.21529816966693607</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2.479973517873105</v>
      </c>
      <c r="C58" s="23">
        <f t="shared" ref="C58:P58" ca="1" si="4">C54*C56</f>
        <v>0</v>
      </c>
      <c r="D58" s="23">
        <f t="shared" si="4"/>
        <v>0</v>
      </c>
      <c r="E58" s="23">
        <f t="shared" si="4"/>
        <v>0</v>
      </c>
      <c r="F58" s="23">
        <f t="shared" si="4"/>
        <v>0</v>
      </c>
      <c r="G58" s="23">
        <f t="shared" si="4"/>
        <v>667.20228186885402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2879.8558567431855</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N30</f>
        <v>4605.75</v>
      </c>
      <c r="C8" s="542">
        <f>B49</f>
        <v>5418.5294117647072</v>
      </c>
      <c r="D8" s="920"/>
      <c r="E8" s="920">
        <f>E49</f>
        <v>0</v>
      </c>
      <c r="F8" s="921"/>
      <c r="G8" s="543"/>
      <c r="H8" s="920">
        <f>I49</f>
        <v>0</v>
      </c>
      <c r="I8" s="920">
        <f>G49+F49</f>
        <v>0</v>
      </c>
      <c r="J8" s="920">
        <f>H49+D49+C49</f>
        <v>0</v>
      </c>
      <c r="K8" s="920"/>
      <c r="L8" s="920"/>
      <c r="M8" s="920"/>
      <c r="N8" s="544"/>
      <c r="O8" s="545">
        <f>C8*$C$12+D8*$D$12+E8*$E$12+F8*$F$12+G8*$G$12+H8*$H$12+I8*$I$12+J8*$J$12</f>
        <v>1094.542941176471</v>
      </c>
      <c r="P8" s="1181"/>
      <c r="Q8" s="1182"/>
      <c r="S8" s="953"/>
      <c r="T8" s="1169"/>
      <c r="U8" s="1169"/>
    </row>
    <row r="9" spans="1:21" s="530" customFormat="1" ht="17.45" customHeight="1" thickBot="1">
      <c r="A9" s="546" t="s">
        <v>237</v>
      </c>
      <c r="B9" s="957">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7485.6058567431855</v>
      </c>
      <c r="C10" s="554">
        <f t="shared" ref="C10:L10" si="0">SUM(C8:C9)</f>
        <v>5418.5294117647072</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1094.542941176471</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O30</f>
        <v>6579.6428571428569</v>
      </c>
      <c r="C17" s="566">
        <f>B50</f>
        <v>7740.7563025210093</v>
      </c>
      <c r="D17" s="567"/>
      <c r="E17" s="567">
        <f>E50</f>
        <v>0</v>
      </c>
      <c r="F17" s="568"/>
      <c r="G17" s="569"/>
      <c r="H17" s="566">
        <f>I50</f>
        <v>0</v>
      </c>
      <c r="I17" s="567">
        <f>G50+F50</f>
        <v>0</v>
      </c>
      <c r="J17" s="567">
        <f>H50+D50+C50</f>
        <v>0</v>
      </c>
      <c r="K17" s="567"/>
      <c r="L17" s="567"/>
      <c r="M17" s="567"/>
      <c r="N17" s="916"/>
      <c r="O17" s="570">
        <f>C17*$C$22+E17*$E$22+H17*$H$22+I17*$I$22+J17*$J$22+D17*$D$22+F17*$F$22+G17*$G$22+K17*$K$22+L17*$L$22</f>
        <v>1563.632773109244</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6579.6428571428569</v>
      </c>
      <c r="C20" s="553">
        <f>SUM(C17:C19)</f>
        <v>7740.7563025210093</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1563.632773109244</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44034</v>
      </c>
      <c r="C28" s="736">
        <v>9080</v>
      </c>
      <c r="D28" s="626"/>
      <c r="E28" s="625"/>
      <c r="F28" s="625"/>
      <c r="G28" s="625" t="s">
        <v>962</v>
      </c>
      <c r="H28" s="625" t="s">
        <v>963</v>
      </c>
      <c r="I28" s="625"/>
      <c r="J28" s="735"/>
      <c r="K28" s="735"/>
      <c r="L28" s="625" t="s">
        <v>964</v>
      </c>
      <c r="M28" s="625">
        <v>30</v>
      </c>
      <c r="N28" s="625">
        <v>78.75</v>
      </c>
      <c r="O28" s="625">
        <v>112.5</v>
      </c>
      <c r="P28" s="625">
        <v>225.00000000000003</v>
      </c>
      <c r="Q28" s="625">
        <v>0</v>
      </c>
      <c r="R28" s="625">
        <v>0</v>
      </c>
      <c r="S28" s="625">
        <v>0</v>
      </c>
      <c r="T28" s="625">
        <v>0</v>
      </c>
      <c r="U28" s="625">
        <v>0</v>
      </c>
      <c r="V28" s="625">
        <v>0</v>
      </c>
      <c r="W28" s="625">
        <v>0</v>
      </c>
      <c r="X28" s="625"/>
      <c r="Y28" s="625">
        <v>1600</v>
      </c>
      <c r="Z28" s="625" t="s">
        <v>49</v>
      </c>
      <c r="AA28" s="627" t="s">
        <v>149</v>
      </c>
    </row>
    <row r="29" spans="1:27" s="579" customFormat="1" ht="25.5" hidden="1">
      <c r="A29" s="578"/>
      <c r="B29" s="736">
        <v>44034</v>
      </c>
      <c r="C29" s="736">
        <v>9080</v>
      </c>
      <c r="D29" s="626"/>
      <c r="E29" s="625"/>
      <c r="F29" s="625"/>
      <c r="G29" s="625" t="s">
        <v>962</v>
      </c>
      <c r="H29" s="625" t="s">
        <v>963</v>
      </c>
      <c r="I29" s="625"/>
      <c r="J29" s="735"/>
      <c r="K29" s="735"/>
      <c r="L29" s="625" t="s">
        <v>964</v>
      </c>
      <c r="M29" s="625">
        <v>1006</v>
      </c>
      <c r="N29" s="625">
        <v>4527</v>
      </c>
      <c r="O29" s="625">
        <v>6467.1428571428569</v>
      </c>
      <c r="P29" s="625">
        <v>12934.285714285716</v>
      </c>
      <c r="Q29" s="625">
        <v>0</v>
      </c>
      <c r="R29" s="625">
        <v>0</v>
      </c>
      <c r="S29" s="625">
        <v>0</v>
      </c>
      <c r="T29" s="625">
        <v>0</v>
      </c>
      <c r="U29" s="625">
        <v>0</v>
      </c>
      <c r="V29" s="625">
        <v>0</v>
      </c>
      <c r="W29" s="625">
        <v>0</v>
      </c>
      <c r="X29" s="625"/>
      <c r="Y29" s="625">
        <v>10</v>
      </c>
      <c r="Z29" s="625" t="s">
        <v>105</v>
      </c>
      <c r="AA29" s="627" t="s">
        <v>105</v>
      </c>
    </row>
    <row r="30" spans="1:27" s="561" customFormat="1" hidden="1">
      <c r="A30" s="581" t="s">
        <v>269</v>
      </c>
      <c r="B30" s="582"/>
      <c r="C30" s="582"/>
      <c r="D30" s="582"/>
      <c r="E30" s="582"/>
      <c r="F30" s="582"/>
      <c r="G30" s="582"/>
      <c r="H30" s="582"/>
      <c r="I30" s="582"/>
      <c r="J30" s="582"/>
      <c r="K30" s="582"/>
      <c r="L30" s="583"/>
      <c r="M30" s="583">
        <f>SUM(M28:M29)</f>
        <v>1036</v>
      </c>
      <c r="N30" s="583">
        <f>SUM(N28:N29)</f>
        <v>4605.75</v>
      </c>
      <c r="O30" s="583">
        <f>SUM(O28:O29)</f>
        <v>6579.6428571428569</v>
      </c>
      <c r="P30" s="583">
        <f>SUM(P28:P29)</f>
        <v>13159.285714285716</v>
      </c>
      <c r="Q30" s="583">
        <f>SUM(Q28:Q29)</f>
        <v>0</v>
      </c>
      <c r="R30" s="583">
        <f>SUM(R28:R29)</f>
        <v>0</v>
      </c>
      <c r="S30" s="583">
        <f>SUM(S28:S29)</f>
        <v>0</v>
      </c>
      <c r="T30" s="583">
        <f>SUM(T28:T29)</f>
        <v>0</v>
      </c>
      <c r="U30" s="583">
        <f>SUM(U28:U29)</f>
        <v>0</v>
      </c>
      <c r="V30" s="583">
        <f>SUM(V28:V29)</f>
        <v>0</v>
      </c>
      <c r="W30" s="583">
        <f>SUM(W28:W29)</f>
        <v>0</v>
      </c>
      <c r="X30" s="583"/>
      <c r="Y30" s="584"/>
      <c r="Z30" s="584"/>
      <c r="AA30" s="585"/>
    </row>
    <row r="31" spans="1:27" s="561" customFormat="1">
      <c r="A31" s="581" t="s">
        <v>276</v>
      </c>
      <c r="B31" s="582"/>
      <c r="C31" s="582"/>
      <c r="D31" s="582"/>
      <c r="E31" s="582"/>
      <c r="F31" s="582"/>
      <c r="G31" s="582"/>
      <c r="H31" s="582"/>
      <c r="I31" s="582"/>
      <c r="J31" s="582"/>
      <c r="K31" s="582"/>
      <c r="L31" s="583"/>
      <c r="M31" s="583">
        <f>SUMIF($AA$28:$AA$29,"industrie",M28:M29)</f>
        <v>0</v>
      </c>
      <c r="N31" s="583">
        <f>SUMIF($AA$28:$AA$29,"industrie",N28:N29)</f>
        <v>0</v>
      </c>
      <c r="O31" s="583">
        <f>SUMIF($AA$28:$AA$29,"industrie",O28:O29)</f>
        <v>0</v>
      </c>
      <c r="P31" s="583">
        <f>SUMIF($AA$28:$AA$29,"industrie",P28:P29)</f>
        <v>0</v>
      </c>
      <c r="Q31" s="583">
        <f>SUMIF($AA$28:$AA$29,"industrie",Q28:Q29)</f>
        <v>0</v>
      </c>
      <c r="R31" s="583">
        <f>SUMIF($AA$28:$AA$29,"industrie",R28:R29)</f>
        <v>0</v>
      </c>
      <c r="S31" s="583">
        <f>SUMIF($AA$28:$AA$29,"industrie",S28:S29)</f>
        <v>0</v>
      </c>
      <c r="T31" s="583">
        <f>SUMIF($AA$28:$AA$29,"industrie",T28:T29)</f>
        <v>0</v>
      </c>
      <c r="U31" s="583">
        <f>SUMIF($AA$28:$AA$29,"industrie",U28:U29)</f>
        <v>0</v>
      </c>
      <c r="V31" s="583">
        <f>SUMIF($AA$28:$AA$29,"industrie",V28:V29)</f>
        <v>0</v>
      </c>
      <c r="W31" s="583">
        <f>SUMIF($AA$28:$AA$29,"industrie",W28:W29)</f>
        <v>0</v>
      </c>
      <c r="X31" s="583"/>
      <c r="Y31" s="584"/>
      <c r="Z31" s="584"/>
      <c r="AA31" s="585"/>
    </row>
    <row r="32" spans="1:27" s="561" customFormat="1">
      <c r="A32" s="581" t="s">
        <v>277</v>
      </c>
      <c r="B32" s="582"/>
      <c r="C32" s="582"/>
      <c r="D32" s="582"/>
      <c r="E32" s="582"/>
      <c r="F32" s="582"/>
      <c r="G32" s="582"/>
      <c r="H32" s="582"/>
      <c r="I32" s="582"/>
      <c r="J32" s="582"/>
      <c r="K32" s="582"/>
      <c r="L32" s="583"/>
      <c r="M32" s="583">
        <f ca="1">SUMIF($AA$28:AD29,"tertiair",M28:M29)</f>
        <v>30</v>
      </c>
      <c r="N32" s="583">
        <f ca="1">SUMIF($AA$28:AE29,"tertiair",N28:N29)</f>
        <v>78.75</v>
      </c>
      <c r="O32" s="583">
        <f ca="1">SUMIF($AA$28:AF29,"tertiair",O28:O29)</f>
        <v>112.5</v>
      </c>
      <c r="P32" s="583">
        <f ca="1">SUMIF($AA$28:AG29,"tertiair",P28:P29)</f>
        <v>225.00000000000003</v>
      </c>
      <c r="Q32" s="583">
        <f ca="1">SUMIF($AA$28:AH29,"tertiair",Q28:Q29)</f>
        <v>0</v>
      </c>
      <c r="R32" s="583">
        <f ca="1">SUMIF($AA$28:AI29,"tertiair",R28:R29)</f>
        <v>0</v>
      </c>
      <c r="S32" s="583">
        <f ca="1">SUMIF($AA$28:AJ29,"tertiair",S28:S29)</f>
        <v>0</v>
      </c>
      <c r="T32" s="583">
        <f ca="1">SUMIF($AA$28:AK29,"tertiair",T28:T29)</f>
        <v>0</v>
      </c>
      <c r="U32" s="583">
        <f ca="1">SUMIF($AA$28:AL29,"tertiair",U28:U29)</f>
        <v>0</v>
      </c>
      <c r="V32" s="583">
        <f ca="1">SUMIF($AA$28:AM29,"tertiair",V28:V29)</f>
        <v>0</v>
      </c>
      <c r="W32" s="583">
        <f ca="1">SUMIF($AA$28:AN29,"tertiair",W28:W29)</f>
        <v>0</v>
      </c>
      <c r="X32" s="583"/>
      <c r="Y32" s="584"/>
      <c r="Z32" s="584"/>
      <c r="AA32" s="585"/>
    </row>
    <row r="33" spans="1:28" s="561" customFormat="1" ht="15.75" thickBot="1">
      <c r="A33" s="586" t="s">
        <v>278</v>
      </c>
      <c r="B33" s="587"/>
      <c r="C33" s="587"/>
      <c r="D33" s="587"/>
      <c r="E33" s="587"/>
      <c r="F33" s="587"/>
      <c r="G33" s="587"/>
      <c r="H33" s="587"/>
      <c r="I33" s="587"/>
      <c r="J33" s="587"/>
      <c r="K33" s="587"/>
      <c r="L33" s="588"/>
      <c r="M33" s="588">
        <f>SUMIF($AA$28:$AA$29,"landbouw",M28:M29)</f>
        <v>1006</v>
      </c>
      <c r="N33" s="588">
        <f>SUMIF($AA$28:$AA$29,"landbouw",N28:N29)</f>
        <v>4527</v>
      </c>
      <c r="O33" s="588">
        <f>SUMIF($AA$28:$AA$29,"landbouw",O28:O29)</f>
        <v>6467.1428571428569</v>
      </c>
      <c r="P33" s="588">
        <f>SUMIF($AA$28:$AA$29,"landbouw",P28:P29)</f>
        <v>12934.285714285716</v>
      </c>
      <c r="Q33" s="588">
        <f>SUMIF($AA$28:$AA$29,"landbouw",Q28:Q29)</f>
        <v>0</v>
      </c>
      <c r="R33" s="588">
        <f>SUMIF($AA$28:$AA$29,"landbouw",R28:R29)</f>
        <v>0</v>
      </c>
      <c r="S33" s="588">
        <f>SUMIF($AA$28:$AA$29,"landbouw",S28:S29)</f>
        <v>0</v>
      </c>
      <c r="T33" s="588">
        <f>SUMIF($AA$28:$AA$29,"landbouw",T28:T29)</f>
        <v>0</v>
      </c>
      <c r="U33" s="588">
        <f>SUMIF($AA$28:$AA$29,"landbouw",U28:U29)</f>
        <v>0</v>
      </c>
      <c r="V33" s="588">
        <f>SUMIF($AA$28:$AA$29,"landbouw",V28:V29)</f>
        <v>0</v>
      </c>
      <c r="W33" s="588">
        <f>SUMIF($AA$28:$AA$29,"landbouw",W28:W29)</f>
        <v>0</v>
      </c>
      <c r="X33" s="588"/>
      <c r="Y33" s="589"/>
      <c r="Z33" s="589"/>
      <c r="AA33" s="590"/>
    </row>
    <row r="34" spans="1:28" s="530" customFormat="1" ht="15.75" thickBot="1">
      <c r="A34" s="591"/>
      <c r="B34" s="592"/>
      <c r="C34" s="592"/>
      <c r="D34" s="592"/>
      <c r="E34" s="592"/>
      <c r="F34" s="592"/>
      <c r="G34" s="592"/>
      <c r="H34" s="592"/>
      <c r="I34" s="592"/>
      <c r="J34" s="592"/>
      <c r="K34" s="592"/>
      <c r="L34" s="575"/>
      <c r="M34" s="575"/>
      <c r="N34" s="575"/>
      <c r="O34" s="576"/>
      <c r="P34" s="576"/>
    </row>
    <row r="35" spans="1:28" s="530" customFormat="1" ht="45">
      <c r="A35" s="593" t="s">
        <v>270</v>
      </c>
      <c r="B35" s="622" t="s">
        <v>89</v>
      </c>
      <c r="C35" s="622" t="s">
        <v>90</v>
      </c>
      <c r="D35" s="622"/>
      <c r="E35" s="622"/>
      <c r="F35" s="622"/>
      <c r="G35" s="622" t="s">
        <v>91</v>
      </c>
      <c r="H35" s="622" t="s">
        <v>92</v>
      </c>
      <c r="I35" s="622"/>
      <c r="J35" s="622"/>
      <c r="K35" s="622"/>
      <c r="L35" s="622" t="s">
        <v>93</v>
      </c>
      <c r="M35" s="623" t="s">
        <v>287</v>
      </c>
      <c r="N35" s="623" t="s">
        <v>94</v>
      </c>
      <c r="O35" s="623" t="s">
        <v>95</v>
      </c>
      <c r="P35" s="623" t="s">
        <v>528</v>
      </c>
      <c r="Q35" s="623" t="s">
        <v>96</v>
      </c>
      <c r="R35" s="623" t="s">
        <v>97</v>
      </c>
      <c r="S35" s="623" t="s">
        <v>98</v>
      </c>
      <c r="T35" s="623" t="s">
        <v>99</v>
      </c>
      <c r="U35" s="623" t="s">
        <v>100</v>
      </c>
      <c r="V35" s="623" t="s">
        <v>101</v>
      </c>
      <c r="W35" s="622" t="s">
        <v>102</v>
      </c>
      <c r="X35" s="622" t="s">
        <v>961</v>
      </c>
      <c r="Y35" s="622" t="s">
        <v>288</v>
      </c>
      <c r="Z35" s="622" t="s">
        <v>103</v>
      </c>
      <c r="AA35" s="624" t="s">
        <v>289</v>
      </c>
    </row>
    <row r="36" spans="1:28" s="594" customFormat="1" ht="12.75" hidden="1">
      <c r="A36" s="580"/>
      <c r="B36" s="736"/>
      <c r="C36" s="736"/>
      <c r="D36" s="628"/>
      <c r="E36" s="628"/>
      <c r="F36" s="628"/>
      <c r="G36" s="628"/>
      <c r="H36" s="628"/>
      <c r="I36" s="628"/>
      <c r="J36" s="735"/>
      <c r="K36" s="735"/>
      <c r="L36" s="628"/>
      <c r="M36" s="628"/>
      <c r="N36" s="628"/>
      <c r="O36" s="628"/>
      <c r="P36" s="628"/>
      <c r="Q36" s="628"/>
      <c r="R36" s="628"/>
      <c r="S36" s="628"/>
      <c r="T36" s="628"/>
      <c r="U36" s="628"/>
      <c r="V36" s="628"/>
      <c r="W36" s="628"/>
      <c r="X36" s="628"/>
      <c r="Y36" s="628"/>
      <c r="Z36" s="628"/>
      <c r="AA36" s="629"/>
    </row>
    <row r="37" spans="1:28" s="561" customFormat="1" hidden="1">
      <c r="A37" s="581" t="s">
        <v>269</v>
      </c>
      <c r="B37" s="582"/>
      <c r="C37" s="582"/>
      <c r="D37" s="582"/>
      <c r="E37" s="582"/>
      <c r="F37" s="582"/>
      <c r="G37" s="582"/>
      <c r="H37" s="582"/>
      <c r="I37" s="582"/>
      <c r="J37" s="582"/>
      <c r="K37" s="582"/>
      <c r="L37" s="583"/>
      <c r="M37" s="583">
        <f>SUM(M36:M36)</f>
        <v>0</v>
      </c>
      <c r="N37" s="583">
        <f>SUM(N36:N36)</f>
        <v>0</v>
      </c>
      <c r="O37" s="583">
        <f>SUM(O36:O36)</f>
        <v>0</v>
      </c>
      <c r="P37" s="583">
        <f>SUM(P36:P36)</f>
        <v>0</v>
      </c>
      <c r="Q37" s="583">
        <f>SUM(Q36:Q36)</f>
        <v>0</v>
      </c>
      <c r="R37" s="583">
        <f>SUM(R36:R36)</f>
        <v>0</v>
      </c>
      <c r="S37" s="583">
        <f>SUM(S36:S36)</f>
        <v>0</v>
      </c>
      <c r="T37" s="583">
        <f>SUM(T36:T36)</f>
        <v>0</v>
      </c>
      <c r="U37" s="583">
        <f>SUM(U36:U36)</f>
        <v>0</v>
      </c>
      <c r="V37" s="583">
        <f>SUM(V36:V36)</f>
        <v>0</v>
      </c>
      <c r="W37" s="583">
        <f>SUM(W36:W36)</f>
        <v>0</v>
      </c>
      <c r="X37" s="583"/>
      <c r="Y37" s="584"/>
      <c r="Z37" s="584"/>
      <c r="AA37" s="585"/>
    </row>
    <row r="38" spans="1:28" s="561" customFormat="1">
      <c r="A38" s="581" t="s">
        <v>276</v>
      </c>
      <c r="B38" s="582"/>
      <c r="C38" s="582"/>
      <c r="D38" s="582"/>
      <c r="E38" s="582"/>
      <c r="F38" s="582"/>
      <c r="G38" s="582"/>
      <c r="H38" s="582"/>
      <c r="I38" s="582"/>
      <c r="J38" s="582"/>
      <c r="K38" s="582"/>
      <c r="L38" s="583"/>
      <c r="M38" s="583">
        <f>SUMIF($AA$36:$AA$36,"industrie",M36:M36)</f>
        <v>0</v>
      </c>
      <c r="N38" s="583">
        <f>SUMIF($AA$36:$AA$36,"industrie",N36:N36)</f>
        <v>0</v>
      </c>
      <c r="O38" s="583">
        <f>SUMIF($AA$36:$AA$36,"industrie",O36:O36)</f>
        <v>0</v>
      </c>
      <c r="P38" s="583">
        <f>SUMIF($AA$36:$AA$36,"industrie",P36:P36)</f>
        <v>0</v>
      </c>
      <c r="Q38" s="583">
        <f>SUMIF($AA$36:$AA$36,"industrie",Q36:Q36)</f>
        <v>0</v>
      </c>
      <c r="R38" s="583">
        <f>SUMIF($AA$36:$AA$36,"industrie",R36:R36)</f>
        <v>0</v>
      </c>
      <c r="S38" s="583">
        <f>SUMIF($AA$36:$AA$36,"industrie",S36:S36)</f>
        <v>0</v>
      </c>
      <c r="T38" s="583">
        <f>SUMIF($AA$36:$AA$36,"industrie",T36:T36)</f>
        <v>0</v>
      </c>
      <c r="U38" s="583">
        <f>SUMIF($AA$36:$AA$36,"industrie",U36:U36)</f>
        <v>0</v>
      </c>
      <c r="V38" s="583">
        <f>SUMIF($AA$36:$AA$36,"industrie",V36:V36)</f>
        <v>0</v>
      </c>
      <c r="W38" s="583">
        <f>SUMIF($AA$36:$AA$36,"industrie",W36:W36)</f>
        <v>0</v>
      </c>
      <c r="X38" s="583"/>
      <c r="Y38" s="584"/>
      <c r="Z38" s="584"/>
      <c r="AA38" s="585"/>
    </row>
    <row r="39" spans="1:28" s="561" customFormat="1">
      <c r="A39" s="581" t="s">
        <v>277</v>
      </c>
      <c r="B39" s="582"/>
      <c r="C39" s="582"/>
      <c r="D39" s="582"/>
      <c r="E39" s="582"/>
      <c r="F39" s="582"/>
      <c r="G39" s="582"/>
      <c r="H39" s="582"/>
      <c r="I39" s="582"/>
      <c r="J39" s="582"/>
      <c r="K39" s="582"/>
      <c r="L39" s="583"/>
      <c r="M39" s="583">
        <f>SUMIF($AA$36:$AA$37,"tertiair",M36:M37)</f>
        <v>0</v>
      </c>
      <c r="N39" s="583">
        <f>SUMIF($AA$36:$AA$37,"tertiair",N36:N37)</f>
        <v>0</v>
      </c>
      <c r="O39" s="583">
        <f>SUMIF($AA$36:$AA$37,"tertiair",O36:O37)</f>
        <v>0</v>
      </c>
      <c r="P39" s="583">
        <f>SUMIF($AA$36:$AA$37,"tertiair",P36:P37)</f>
        <v>0</v>
      </c>
      <c r="Q39" s="583">
        <f>SUMIF($AA$36:$AA$37,"tertiair",Q36:Q37)</f>
        <v>0</v>
      </c>
      <c r="R39" s="583">
        <f>SUMIF($AA$36:$AA$37,"tertiair",R36:R37)</f>
        <v>0</v>
      </c>
      <c r="S39" s="583">
        <f>SUMIF($AA$36:$AA$37,"tertiair",S36:S37)</f>
        <v>0</v>
      </c>
      <c r="T39" s="583">
        <f>SUMIF($AA$36:$AA$37,"tertiair",T36:T37)</f>
        <v>0</v>
      </c>
      <c r="U39" s="583">
        <f>SUMIF($AA$36:$AA$37,"tertiair",U36:U37)</f>
        <v>0</v>
      </c>
      <c r="V39" s="583">
        <f>SUMIF($AA$36:$AA$37,"tertiair",V36:V37)</f>
        <v>0</v>
      </c>
      <c r="W39" s="583">
        <f>SUMIF($AA$36:$AA$37,"tertiair",W36:W37)</f>
        <v>0</v>
      </c>
      <c r="X39" s="583"/>
      <c r="Y39" s="584"/>
      <c r="Z39" s="584"/>
      <c r="AA39" s="585"/>
    </row>
    <row r="40" spans="1:28" s="561" customFormat="1" ht="15.75" thickBot="1">
      <c r="A40" s="586" t="s">
        <v>278</v>
      </c>
      <c r="B40" s="587"/>
      <c r="C40" s="587"/>
      <c r="D40" s="587"/>
      <c r="E40" s="587"/>
      <c r="F40" s="587"/>
      <c r="G40" s="587"/>
      <c r="H40" s="587"/>
      <c r="I40" s="587"/>
      <c r="J40" s="587"/>
      <c r="K40" s="587"/>
      <c r="L40" s="588"/>
      <c r="M40" s="588">
        <f>SUMIF($AA$36:$AA$38,"landbouw",M36:M38)</f>
        <v>0</v>
      </c>
      <c r="N40" s="588">
        <f>SUMIF($AA$36:$AA$38,"landbouw",N36:N38)</f>
        <v>0</v>
      </c>
      <c r="O40" s="588">
        <f>SUMIF($AA$36:$AA$38,"landbouw",O36:O38)</f>
        <v>0</v>
      </c>
      <c r="P40" s="588">
        <f>SUMIF($AA$36:$AA$38,"landbouw",P36:P38)</f>
        <v>0</v>
      </c>
      <c r="Q40" s="588">
        <f>SUMIF($AA$36:$AA$38,"landbouw",Q36:Q38)</f>
        <v>0</v>
      </c>
      <c r="R40" s="588">
        <f>SUMIF($AA$36:$AA$38,"landbouw",R36:R38)</f>
        <v>0</v>
      </c>
      <c r="S40" s="588">
        <f>SUMIF($AA$36:$AA$38,"landbouw",S36:S38)</f>
        <v>0</v>
      </c>
      <c r="T40" s="588">
        <f>SUMIF($AA$36:$AA$38,"landbouw",T36:T38)</f>
        <v>0</v>
      </c>
      <c r="U40" s="588">
        <f>SUMIF($AA$36:$AA$38,"landbouw",U36:U38)</f>
        <v>0</v>
      </c>
      <c r="V40" s="588">
        <f>SUMIF($AA$36:$AA$38,"landbouw",V36:V38)</f>
        <v>0</v>
      </c>
      <c r="W40" s="588">
        <f>SUMIF($AA$36:$AA$38,"landbouw",W36:W38)</f>
        <v>0</v>
      </c>
      <c r="X40" s="588"/>
      <c r="Y40" s="589"/>
      <c r="Z40" s="589"/>
      <c r="AA40" s="590"/>
    </row>
    <row r="41" spans="1:28" s="595" customForma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spans="1:28" s="595" customFormat="1" ht="15.75" thickBo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row>
    <row r="43" spans="1:28">
      <c r="A43" s="596" t="s">
        <v>271</v>
      </c>
      <c r="B43" s="597"/>
      <c r="C43" s="597"/>
      <c r="D43" s="597"/>
      <c r="E43" s="597"/>
      <c r="F43" s="597"/>
      <c r="G43" s="597"/>
      <c r="H43" s="597"/>
      <c r="I43" s="598"/>
      <c r="J43" s="599"/>
      <c r="K43" s="599"/>
      <c r="L43" s="600"/>
      <c r="M43" s="600"/>
      <c r="N43" s="600"/>
      <c r="O43" s="600"/>
      <c r="P43" s="600"/>
    </row>
    <row r="44" spans="1:28">
      <c r="A44" s="602"/>
      <c r="B44" s="592"/>
      <c r="C44" s="592"/>
      <c r="D44" s="592"/>
      <c r="E44" s="592"/>
      <c r="F44" s="592"/>
      <c r="G44" s="592"/>
      <c r="H44" s="592"/>
      <c r="I44" s="603"/>
      <c r="J44" s="592"/>
      <c r="K44" s="592"/>
      <c r="L44" s="600"/>
      <c r="M44" s="600"/>
      <c r="N44" s="600"/>
      <c r="O44" s="600"/>
      <c r="P44" s="600"/>
    </row>
    <row r="45" spans="1:28">
      <c r="A45" s="604"/>
      <c r="B45" s="605" t="s">
        <v>272</v>
      </c>
      <c r="C45" s="605" t="s">
        <v>273</v>
      </c>
      <c r="D45" s="605"/>
      <c r="E45" s="605"/>
      <c r="F45" s="605"/>
      <c r="G45" s="605"/>
      <c r="H45" s="605"/>
      <c r="I45" s="606"/>
      <c r="J45" s="605"/>
      <c r="K45" s="605"/>
      <c r="L45" s="605"/>
      <c r="M45" s="605"/>
      <c r="N45" s="605"/>
      <c r="O45" s="605"/>
      <c r="P45" s="600"/>
    </row>
    <row r="46" spans="1:28">
      <c r="A46" s="602" t="s">
        <v>269</v>
      </c>
      <c r="B46" s="607">
        <f>IF(ISERROR(O30/(O30+N30)),0,O30/(O30+N30))</f>
        <v>0.58823529411764708</v>
      </c>
      <c r="C46" s="608">
        <f>IF(ISERROR(N30/(O30+N30)),0,N30/(N30+O30))</f>
        <v>0.41176470588235298</v>
      </c>
      <c r="D46" s="575"/>
      <c r="E46" s="575"/>
      <c r="F46" s="575"/>
      <c r="G46" s="575"/>
      <c r="H46" s="575"/>
      <c r="I46" s="609"/>
      <c r="J46" s="575"/>
      <c r="K46" s="575"/>
      <c r="L46" s="610"/>
      <c r="M46" s="610"/>
      <c r="N46" s="610"/>
      <c r="O46" s="610"/>
      <c r="P46" s="600"/>
    </row>
    <row r="47" spans="1:28">
      <c r="A47" s="602"/>
      <c r="B47" s="611"/>
      <c r="C47" s="611"/>
      <c r="D47" s="611"/>
      <c r="E47" s="611"/>
      <c r="F47" s="611"/>
      <c r="G47" s="611"/>
      <c r="H47" s="611"/>
      <c r="I47" s="612"/>
      <c r="J47" s="611"/>
      <c r="K47" s="611"/>
      <c r="L47" s="613"/>
      <c r="M47" s="613"/>
      <c r="N47" s="613"/>
      <c r="O47" s="613"/>
      <c r="P47" s="600"/>
    </row>
    <row r="48" spans="1:28" ht="30">
      <c r="A48" s="614"/>
      <c r="B48" s="615" t="s">
        <v>528</v>
      </c>
      <c r="C48" s="615" t="s">
        <v>96</v>
      </c>
      <c r="D48" s="615" t="s">
        <v>97</v>
      </c>
      <c r="E48" s="615" t="s">
        <v>98</v>
      </c>
      <c r="F48" s="615" t="s">
        <v>99</v>
      </c>
      <c r="G48" s="615" t="s">
        <v>100</v>
      </c>
      <c r="H48" s="615" t="s">
        <v>101</v>
      </c>
      <c r="I48" s="616" t="s">
        <v>102</v>
      </c>
      <c r="J48" s="605"/>
      <c r="K48" s="605"/>
      <c r="L48" s="613"/>
      <c r="M48" s="613"/>
      <c r="N48" s="613"/>
      <c r="O48" s="600"/>
      <c r="P48" s="600"/>
    </row>
    <row r="49" spans="1:16">
      <c r="A49" s="604" t="s">
        <v>274</v>
      </c>
      <c r="B49" s="617">
        <f t="shared" ref="B49:I49" si="2">$C$46*P30</f>
        <v>5418.5294117647072</v>
      </c>
      <c r="C49" s="617">
        <f t="shared" si="2"/>
        <v>0</v>
      </c>
      <c r="D49" s="617">
        <f t="shared" si="2"/>
        <v>0</v>
      </c>
      <c r="E49" s="617">
        <f t="shared" si="2"/>
        <v>0</v>
      </c>
      <c r="F49" s="617">
        <f t="shared" si="2"/>
        <v>0</v>
      </c>
      <c r="G49" s="617">
        <f t="shared" si="2"/>
        <v>0</v>
      </c>
      <c r="H49" s="617">
        <f t="shared" si="2"/>
        <v>0</v>
      </c>
      <c r="I49" s="618">
        <f t="shared" si="2"/>
        <v>0</v>
      </c>
      <c r="J49" s="575"/>
      <c r="K49" s="575"/>
      <c r="L49" s="613"/>
      <c r="M49" s="613"/>
      <c r="N49" s="613"/>
      <c r="O49" s="600"/>
      <c r="P49" s="600"/>
    </row>
    <row r="50" spans="1:16" ht="15.75" thickBot="1">
      <c r="A50" s="619" t="s">
        <v>275</v>
      </c>
      <c r="B50" s="620">
        <f t="shared" ref="B50:I50" si="3">$B$46*P30</f>
        <v>7740.7563025210093</v>
      </c>
      <c r="C50" s="620">
        <f t="shared" si="3"/>
        <v>0</v>
      </c>
      <c r="D50" s="620">
        <f t="shared" si="3"/>
        <v>0</v>
      </c>
      <c r="E50" s="620">
        <f t="shared" si="3"/>
        <v>0</v>
      </c>
      <c r="F50" s="620">
        <f t="shared" si="3"/>
        <v>0</v>
      </c>
      <c r="G50" s="620">
        <f t="shared" si="3"/>
        <v>0</v>
      </c>
      <c r="H50" s="620">
        <f t="shared" si="3"/>
        <v>0</v>
      </c>
      <c r="I50" s="621">
        <f t="shared" si="3"/>
        <v>0</v>
      </c>
      <c r="J50" s="575"/>
      <c r="K50" s="575"/>
      <c r="L50" s="613"/>
      <c r="M50" s="613"/>
      <c r="N50" s="613"/>
      <c r="O50" s="600"/>
      <c r="P50" s="600"/>
    </row>
    <row r="51" spans="1:16">
      <c r="J51" s="559"/>
      <c r="K51" s="559"/>
      <c r="L51" s="559"/>
      <c r="M51" s="559"/>
      <c r="N51" s="559"/>
    </row>
    <row r="52" spans="1:16">
      <c r="J52" s="559"/>
      <c r="K52" s="559"/>
      <c r="L52" s="559"/>
      <c r="M52" s="559"/>
      <c r="N52"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32176.83344908139</v>
      </c>
      <c r="D10" s="635">
        <f ca="1">tertiair!C16</f>
        <v>112.5</v>
      </c>
      <c r="E10" s="635">
        <f ca="1">tertiair!D16</f>
        <v>26361.292648872535</v>
      </c>
      <c r="F10" s="635">
        <f>tertiair!E16</f>
        <v>583.17386955731672</v>
      </c>
      <c r="G10" s="635">
        <f ca="1">tertiair!F16</f>
        <v>5216.2997436614187</v>
      </c>
      <c r="H10" s="635">
        <f>tertiair!G16</f>
        <v>0</v>
      </c>
      <c r="I10" s="635">
        <f>tertiair!H16</f>
        <v>0</v>
      </c>
      <c r="J10" s="635">
        <f>tertiair!I16</f>
        <v>0</v>
      </c>
      <c r="K10" s="635">
        <f>tertiair!J16</f>
        <v>0</v>
      </c>
      <c r="L10" s="635">
        <f>tertiair!K16</f>
        <v>0</v>
      </c>
      <c r="M10" s="635">
        <f ca="1">tertiair!L16</f>
        <v>0</v>
      </c>
      <c r="N10" s="635">
        <f>tertiair!M16</f>
        <v>0</v>
      </c>
      <c r="O10" s="635">
        <f ca="1">tertiair!N16</f>
        <v>670.18168385335537</v>
      </c>
      <c r="P10" s="635">
        <f>tertiair!O16</f>
        <v>1.5633333333333335</v>
      </c>
      <c r="Q10" s="636">
        <f>tertiair!P16</f>
        <v>19.066666666666666</v>
      </c>
      <c r="R10" s="638">
        <f ca="1">SUM(C10:Q10)</f>
        <v>65140.911395026007</v>
      </c>
      <c r="S10" s="67"/>
    </row>
    <row r="11" spans="1:19" s="441" customFormat="1">
      <c r="A11" s="749" t="s">
        <v>214</v>
      </c>
      <c r="B11" s="754"/>
      <c r="C11" s="635">
        <f>huishoudens!B8</f>
        <v>43098.443237931344</v>
      </c>
      <c r="D11" s="635">
        <f>huishoudens!C8</f>
        <v>0</v>
      </c>
      <c r="E11" s="635">
        <f>huishoudens!D8</f>
        <v>61789.656218481461</v>
      </c>
      <c r="F11" s="635">
        <f>huishoudens!E8</f>
        <v>2083.4538259125234</v>
      </c>
      <c r="G11" s="635">
        <f>huishoudens!F8</f>
        <v>71117.43719445981</v>
      </c>
      <c r="H11" s="635">
        <f>huishoudens!G8</f>
        <v>0</v>
      </c>
      <c r="I11" s="635">
        <f>huishoudens!H8</f>
        <v>0</v>
      </c>
      <c r="J11" s="635">
        <f>huishoudens!I8</f>
        <v>0</v>
      </c>
      <c r="K11" s="635">
        <f>huishoudens!J8</f>
        <v>1601.3843824922294</v>
      </c>
      <c r="L11" s="635">
        <f>huishoudens!K8</f>
        <v>0</v>
      </c>
      <c r="M11" s="635">
        <f>huishoudens!L8</f>
        <v>0</v>
      </c>
      <c r="N11" s="635">
        <f>huishoudens!M8</f>
        <v>0</v>
      </c>
      <c r="O11" s="635">
        <f>huishoudens!N8</f>
        <v>10348.567111974126</v>
      </c>
      <c r="P11" s="635">
        <f>huishoudens!O8</f>
        <v>182.91000000000003</v>
      </c>
      <c r="Q11" s="636">
        <f>huishoudens!P8</f>
        <v>286</v>
      </c>
      <c r="R11" s="638">
        <f>SUM(C11:Q11)</f>
        <v>190507.85197125148</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7569.7005953203243</v>
      </c>
      <c r="D13" s="635">
        <f>industrie!C18</f>
        <v>0</v>
      </c>
      <c r="E13" s="635">
        <f>industrie!D18</f>
        <v>20591.749182773186</v>
      </c>
      <c r="F13" s="635">
        <f>industrie!E18</f>
        <v>100.76291020064411</v>
      </c>
      <c r="G13" s="635">
        <f>industrie!F18</f>
        <v>3707.3540807588233</v>
      </c>
      <c r="H13" s="635">
        <f>industrie!G18</f>
        <v>0</v>
      </c>
      <c r="I13" s="635">
        <f>industrie!H18</f>
        <v>0</v>
      </c>
      <c r="J13" s="635">
        <f>industrie!I18</f>
        <v>0</v>
      </c>
      <c r="K13" s="635">
        <f>industrie!J18</f>
        <v>24.313610604529302</v>
      </c>
      <c r="L13" s="635">
        <f>industrie!K18</f>
        <v>0</v>
      </c>
      <c r="M13" s="635">
        <f>industrie!L18</f>
        <v>0</v>
      </c>
      <c r="N13" s="635">
        <f>industrie!M18</f>
        <v>0</v>
      </c>
      <c r="O13" s="635">
        <f>industrie!N18</f>
        <v>344.7139563334128</v>
      </c>
      <c r="P13" s="635">
        <f>industrie!O18</f>
        <v>0</v>
      </c>
      <c r="Q13" s="636">
        <f>industrie!P18</f>
        <v>0</v>
      </c>
      <c r="R13" s="638">
        <f>SUM(C13:Q13)</f>
        <v>32338.594335990922</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82844.977282333057</v>
      </c>
      <c r="D16" s="668">
        <f t="shared" ref="D16:R16" ca="1" si="0">SUM(D9:D15)</f>
        <v>112.5</v>
      </c>
      <c r="E16" s="668">
        <f t="shared" ca="1" si="0"/>
        <v>108742.69805012718</v>
      </c>
      <c r="F16" s="668">
        <f t="shared" si="0"/>
        <v>2767.3906056704841</v>
      </c>
      <c r="G16" s="668">
        <f t="shared" ca="1" si="0"/>
        <v>80041.091018880063</v>
      </c>
      <c r="H16" s="668">
        <f t="shared" si="0"/>
        <v>0</v>
      </c>
      <c r="I16" s="668">
        <f t="shared" si="0"/>
        <v>0</v>
      </c>
      <c r="J16" s="668">
        <f t="shared" si="0"/>
        <v>0</v>
      </c>
      <c r="K16" s="668">
        <f t="shared" si="0"/>
        <v>1625.6979930967586</v>
      </c>
      <c r="L16" s="668">
        <f t="shared" si="0"/>
        <v>0</v>
      </c>
      <c r="M16" s="668">
        <f t="shared" ca="1" si="0"/>
        <v>0</v>
      </c>
      <c r="N16" s="668">
        <f t="shared" si="0"/>
        <v>0</v>
      </c>
      <c r="O16" s="668">
        <f t="shared" ca="1" si="0"/>
        <v>11363.462752160895</v>
      </c>
      <c r="P16" s="668">
        <f t="shared" si="0"/>
        <v>184.47333333333336</v>
      </c>
      <c r="Q16" s="668">
        <f t="shared" si="0"/>
        <v>305.06666666666666</v>
      </c>
      <c r="R16" s="668">
        <f t="shared" ca="1" si="0"/>
        <v>287987.3577022684</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11.51878588521954</v>
      </c>
      <c r="D19" s="635">
        <f>transport!C54</f>
        <v>0</v>
      </c>
      <c r="E19" s="635">
        <f>transport!D54</f>
        <v>0</v>
      </c>
      <c r="F19" s="635">
        <f>transport!E54</f>
        <v>0</v>
      </c>
      <c r="G19" s="635">
        <f>transport!F54</f>
        <v>0</v>
      </c>
      <c r="H19" s="635">
        <f>transport!G54</f>
        <v>2498.8849508196777</v>
      </c>
      <c r="I19" s="635">
        <f>transport!H54</f>
        <v>0</v>
      </c>
      <c r="J19" s="635">
        <f>transport!I54</f>
        <v>0</v>
      </c>
      <c r="K19" s="635">
        <f>transport!J54</f>
        <v>0</v>
      </c>
      <c r="L19" s="635">
        <f>transport!K54</f>
        <v>0</v>
      </c>
      <c r="M19" s="635">
        <f>transport!L54</f>
        <v>0</v>
      </c>
      <c r="N19" s="635">
        <f>transport!M54</f>
        <v>106.99265475471087</v>
      </c>
      <c r="O19" s="635">
        <f>transport!N54</f>
        <v>0</v>
      </c>
      <c r="P19" s="635">
        <f>transport!O54</f>
        <v>0</v>
      </c>
      <c r="Q19" s="636">
        <f>transport!P54</f>
        <v>0</v>
      </c>
      <c r="R19" s="638">
        <f>SUM(C19:Q19)</f>
        <v>2617.3963914596079</v>
      </c>
      <c r="S19" s="67"/>
    </row>
    <row r="20" spans="1:19" s="441" customFormat="1">
      <c r="A20" s="749" t="s">
        <v>296</v>
      </c>
      <c r="B20" s="754"/>
      <c r="C20" s="635">
        <f>transport!B14</f>
        <v>2.7146774323490579</v>
      </c>
      <c r="D20" s="635">
        <f>transport!C14</f>
        <v>0</v>
      </c>
      <c r="E20" s="635">
        <f>transport!D14</f>
        <v>8.4039032577956352</v>
      </c>
      <c r="F20" s="635">
        <f>transport!E14</f>
        <v>979.01309471933496</v>
      </c>
      <c r="G20" s="635">
        <f>transport!F14</f>
        <v>0</v>
      </c>
      <c r="H20" s="635">
        <f>transport!G14</f>
        <v>234341.65415010831</v>
      </c>
      <c r="I20" s="635">
        <f>transport!H14</f>
        <v>30038.64825918202</v>
      </c>
      <c r="J20" s="635">
        <f>transport!I14</f>
        <v>0</v>
      </c>
      <c r="K20" s="635">
        <f>transport!J14</f>
        <v>0</v>
      </c>
      <c r="L20" s="635">
        <f>transport!K14</f>
        <v>0</v>
      </c>
      <c r="M20" s="635">
        <f>transport!L14</f>
        <v>0</v>
      </c>
      <c r="N20" s="635">
        <f>transport!M14</f>
        <v>11477.775817262698</v>
      </c>
      <c r="O20" s="635">
        <f>transport!N14</f>
        <v>0</v>
      </c>
      <c r="P20" s="635">
        <f>transport!O14</f>
        <v>0</v>
      </c>
      <c r="Q20" s="636">
        <f>transport!P14</f>
        <v>0</v>
      </c>
      <c r="R20" s="638">
        <f>SUM(C20:Q20)</f>
        <v>276848.20990196249</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14.233463317568598</v>
      </c>
      <c r="D22" s="752">
        <f t="shared" ref="D22:R22" si="1">SUM(D18:D21)</f>
        <v>0</v>
      </c>
      <c r="E22" s="752">
        <f t="shared" si="1"/>
        <v>8.4039032577956352</v>
      </c>
      <c r="F22" s="752">
        <f t="shared" si="1"/>
        <v>979.01309471933496</v>
      </c>
      <c r="G22" s="752">
        <f t="shared" si="1"/>
        <v>0</v>
      </c>
      <c r="H22" s="752">
        <f t="shared" si="1"/>
        <v>236840.539100928</v>
      </c>
      <c r="I22" s="752">
        <f t="shared" si="1"/>
        <v>30038.64825918202</v>
      </c>
      <c r="J22" s="752">
        <f t="shared" si="1"/>
        <v>0</v>
      </c>
      <c r="K22" s="752">
        <f t="shared" si="1"/>
        <v>0</v>
      </c>
      <c r="L22" s="752">
        <f t="shared" si="1"/>
        <v>0</v>
      </c>
      <c r="M22" s="752">
        <f t="shared" si="1"/>
        <v>0</v>
      </c>
      <c r="N22" s="752">
        <f t="shared" si="1"/>
        <v>11584.768472017409</v>
      </c>
      <c r="O22" s="752">
        <f t="shared" si="1"/>
        <v>0</v>
      </c>
      <c r="P22" s="752">
        <f t="shared" si="1"/>
        <v>0</v>
      </c>
      <c r="Q22" s="752">
        <f t="shared" si="1"/>
        <v>0</v>
      </c>
      <c r="R22" s="752">
        <f t="shared" si="1"/>
        <v>279465.60629342211</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13144.408569487015</v>
      </c>
      <c r="D24" s="635">
        <f>+landbouw!C8</f>
        <v>6467.1428571428569</v>
      </c>
      <c r="E24" s="635">
        <f>+landbouw!D8</f>
        <v>42062.477893406038</v>
      </c>
      <c r="F24" s="635">
        <f>+landbouw!E8</f>
        <v>118.44779999551825</v>
      </c>
      <c r="G24" s="635">
        <f>+landbouw!F8</f>
        <v>49252.499801054204</v>
      </c>
      <c r="H24" s="635">
        <f>+landbouw!G8</f>
        <v>0</v>
      </c>
      <c r="I24" s="635">
        <f>+landbouw!H8</f>
        <v>0</v>
      </c>
      <c r="J24" s="635">
        <f>+landbouw!I8</f>
        <v>0</v>
      </c>
      <c r="K24" s="635">
        <f>+landbouw!J8</f>
        <v>1330.1597834762561</v>
      </c>
      <c r="L24" s="635">
        <f>+landbouw!K8</f>
        <v>0</v>
      </c>
      <c r="M24" s="635">
        <f>+landbouw!L8</f>
        <v>0</v>
      </c>
      <c r="N24" s="635">
        <f>+landbouw!M8</f>
        <v>0</v>
      </c>
      <c r="O24" s="635">
        <f>+landbouw!N8</f>
        <v>0</v>
      </c>
      <c r="P24" s="635">
        <f>+landbouw!O8</f>
        <v>0</v>
      </c>
      <c r="Q24" s="636">
        <f>+landbouw!P8</f>
        <v>0</v>
      </c>
      <c r="R24" s="638">
        <f>SUM(C24:Q24)</f>
        <v>112375.13670456188</v>
      </c>
      <c r="S24" s="67"/>
    </row>
    <row r="25" spans="1:19" s="441" customFormat="1" ht="15" thickBot="1">
      <c r="A25" s="771" t="s">
        <v>864</v>
      </c>
      <c r="B25" s="923"/>
      <c r="C25" s="924">
        <f>IF(Onbekend_ele_kWh="---",0,Onbekend_ele_kWh)/1000+IF(REST_rest_ele_kWh="---",0,REST_rest_ele_kWh)/1000</f>
        <v>2171.1632485820501</v>
      </c>
      <c r="D25" s="924"/>
      <c r="E25" s="924">
        <f>IF(onbekend_gas_kWh="---",0,onbekend_gas_kWh)/1000+IF(REST_rest_gas_kWh="---",0,REST_rest_gas_kWh)/1000</f>
        <v>3706.83194568199</v>
      </c>
      <c r="F25" s="924"/>
      <c r="G25" s="924"/>
      <c r="H25" s="924"/>
      <c r="I25" s="924"/>
      <c r="J25" s="924"/>
      <c r="K25" s="924"/>
      <c r="L25" s="924"/>
      <c r="M25" s="924"/>
      <c r="N25" s="924"/>
      <c r="O25" s="924"/>
      <c r="P25" s="924"/>
      <c r="Q25" s="925"/>
      <c r="R25" s="638">
        <f>SUM(C25:Q25)</f>
        <v>5877.99519426404</v>
      </c>
      <c r="S25" s="67"/>
    </row>
    <row r="26" spans="1:19" s="441" customFormat="1" ht="15.75" thickBot="1">
      <c r="A26" s="641" t="s">
        <v>865</v>
      </c>
      <c r="B26" s="757"/>
      <c r="C26" s="752">
        <f>SUM(C24:C25)</f>
        <v>15315.571818069066</v>
      </c>
      <c r="D26" s="752">
        <f t="shared" ref="D26:R26" si="2">SUM(D24:D25)</f>
        <v>6467.1428571428569</v>
      </c>
      <c r="E26" s="752">
        <f t="shared" si="2"/>
        <v>45769.309839088026</v>
      </c>
      <c r="F26" s="752">
        <f t="shared" si="2"/>
        <v>118.44779999551825</v>
      </c>
      <c r="G26" s="752">
        <f t="shared" si="2"/>
        <v>49252.499801054204</v>
      </c>
      <c r="H26" s="752">
        <f t="shared" si="2"/>
        <v>0</v>
      </c>
      <c r="I26" s="752">
        <f t="shared" si="2"/>
        <v>0</v>
      </c>
      <c r="J26" s="752">
        <f t="shared" si="2"/>
        <v>0</v>
      </c>
      <c r="K26" s="752">
        <f t="shared" si="2"/>
        <v>1330.1597834762561</v>
      </c>
      <c r="L26" s="752">
        <f t="shared" si="2"/>
        <v>0</v>
      </c>
      <c r="M26" s="752">
        <f t="shared" si="2"/>
        <v>0</v>
      </c>
      <c r="N26" s="752">
        <f t="shared" si="2"/>
        <v>0</v>
      </c>
      <c r="O26" s="752">
        <f t="shared" si="2"/>
        <v>0</v>
      </c>
      <c r="P26" s="752">
        <f t="shared" si="2"/>
        <v>0</v>
      </c>
      <c r="Q26" s="752">
        <f t="shared" si="2"/>
        <v>0</v>
      </c>
      <c r="R26" s="752">
        <f t="shared" si="2"/>
        <v>118253.13189882593</v>
      </c>
      <c r="S26" s="67"/>
    </row>
    <row r="27" spans="1:19" s="441" customFormat="1" ht="17.25" thickTop="1" thickBot="1">
      <c r="A27" s="642" t="s">
        <v>109</v>
      </c>
      <c r="B27" s="744"/>
      <c r="C27" s="643">
        <f ca="1">C22+C16+C26</f>
        <v>98174.78256371968</v>
      </c>
      <c r="D27" s="643">
        <f t="shared" ref="D27:R27" ca="1" si="3">D22+D16+D26</f>
        <v>6579.6428571428569</v>
      </c>
      <c r="E27" s="643">
        <f t="shared" ca="1" si="3"/>
        <v>154520.41179247299</v>
      </c>
      <c r="F27" s="643">
        <f t="shared" si="3"/>
        <v>3864.8515003853377</v>
      </c>
      <c r="G27" s="643">
        <f t="shared" ca="1" si="3"/>
        <v>129293.59081993427</v>
      </c>
      <c r="H27" s="643">
        <f t="shared" si="3"/>
        <v>236840.539100928</v>
      </c>
      <c r="I27" s="643">
        <f t="shared" si="3"/>
        <v>30038.64825918202</v>
      </c>
      <c r="J27" s="643">
        <f t="shared" si="3"/>
        <v>0</v>
      </c>
      <c r="K27" s="643">
        <f t="shared" si="3"/>
        <v>2955.8577765730147</v>
      </c>
      <c r="L27" s="643">
        <f t="shared" si="3"/>
        <v>0</v>
      </c>
      <c r="M27" s="643">
        <f t="shared" ca="1" si="3"/>
        <v>0</v>
      </c>
      <c r="N27" s="643">
        <f t="shared" si="3"/>
        <v>11584.768472017409</v>
      </c>
      <c r="O27" s="643">
        <f t="shared" ca="1" si="3"/>
        <v>11363.462752160895</v>
      </c>
      <c r="P27" s="643">
        <f t="shared" si="3"/>
        <v>184.47333333333336</v>
      </c>
      <c r="Q27" s="643">
        <f t="shared" si="3"/>
        <v>305.06666666666666</v>
      </c>
      <c r="R27" s="643">
        <f t="shared" ca="1" si="3"/>
        <v>685706.09589451645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6927.613347265069</v>
      </c>
      <c r="D40" s="635">
        <f ca="1">tertiair!C20</f>
        <v>26.735294117647065</v>
      </c>
      <c r="E40" s="635">
        <f ca="1">tertiair!D20</f>
        <v>5324.9811150722526</v>
      </c>
      <c r="F40" s="635">
        <f>tertiair!E20</f>
        <v>132.3804683895109</v>
      </c>
      <c r="G40" s="635">
        <f ca="1">tertiair!F20</f>
        <v>1392.7520315575989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13804.462256402077</v>
      </c>
    </row>
    <row r="41" spans="1:18">
      <c r="A41" s="762" t="s">
        <v>214</v>
      </c>
      <c r="B41" s="769"/>
      <c r="C41" s="635">
        <f ca="1">huishoudens!B12</f>
        <v>9279.0159446209564</v>
      </c>
      <c r="D41" s="635">
        <f ca="1">huishoudens!C12</f>
        <v>0</v>
      </c>
      <c r="E41" s="635">
        <f>huishoudens!D12</f>
        <v>12481.510556133257</v>
      </c>
      <c r="F41" s="635">
        <f>huishoudens!E12</f>
        <v>472.94401848214284</v>
      </c>
      <c r="G41" s="635">
        <f>huishoudens!F12</f>
        <v>18988.355730920772</v>
      </c>
      <c r="H41" s="635">
        <f>huishoudens!G12</f>
        <v>0</v>
      </c>
      <c r="I41" s="635">
        <f>huishoudens!H12</f>
        <v>0</v>
      </c>
      <c r="J41" s="635">
        <f>huishoudens!I12</f>
        <v>0</v>
      </c>
      <c r="K41" s="635">
        <f>huishoudens!J12</f>
        <v>566.89007140224919</v>
      </c>
      <c r="L41" s="635">
        <f>huishoudens!K12</f>
        <v>0</v>
      </c>
      <c r="M41" s="635">
        <f>huishoudens!L12</f>
        <v>0</v>
      </c>
      <c r="N41" s="635">
        <f>huishoudens!M12</f>
        <v>0</v>
      </c>
      <c r="O41" s="635">
        <f>huishoudens!N12</f>
        <v>0</v>
      </c>
      <c r="P41" s="635">
        <f>huishoudens!O12</f>
        <v>0</v>
      </c>
      <c r="Q41" s="710">
        <f>huishoudens!P12</f>
        <v>0</v>
      </c>
      <c r="R41" s="790">
        <f t="shared" ca="1" si="4"/>
        <v>41788.716321559376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1629.7426830991822</v>
      </c>
      <c r="D43" s="635">
        <f ca="1">industrie!C22</f>
        <v>0</v>
      </c>
      <c r="E43" s="635">
        <f>industrie!D22</f>
        <v>4159.5333349201837</v>
      </c>
      <c r="F43" s="635">
        <f>industrie!E22</f>
        <v>22.873180615546215</v>
      </c>
      <c r="G43" s="635">
        <f>industrie!F22</f>
        <v>989.86353956260587</v>
      </c>
      <c r="H43" s="635">
        <f>industrie!G22</f>
        <v>0</v>
      </c>
      <c r="I43" s="635">
        <f>industrie!H22</f>
        <v>0</v>
      </c>
      <c r="J43" s="635">
        <f>industrie!I22</f>
        <v>0</v>
      </c>
      <c r="K43" s="635">
        <f>industrie!J22</f>
        <v>8.6070181540033719</v>
      </c>
      <c r="L43" s="635">
        <f>industrie!K22</f>
        <v>0</v>
      </c>
      <c r="M43" s="635">
        <f>industrie!L22</f>
        <v>0</v>
      </c>
      <c r="N43" s="635">
        <f>industrie!M22</f>
        <v>0</v>
      </c>
      <c r="O43" s="635">
        <f>industrie!N22</f>
        <v>0</v>
      </c>
      <c r="P43" s="635">
        <f>industrie!O22</f>
        <v>0</v>
      </c>
      <c r="Q43" s="710">
        <f>industrie!P22</f>
        <v>0</v>
      </c>
      <c r="R43" s="789">
        <f t="shared" ca="1" si="4"/>
        <v>6810.6197563515216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17836.371974985206</v>
      </c>
      <c r="D46" s="668">
        <f t="shared" ref="D46:Q46" ca="1" si="5">SUM(D39:D45)</f>
        <v>26.735294117647065</v>
      </c>
      <c r="E46" s="668">
        <f t="shared" ca="1" si="5"/>
        <v>21966.025006125692</v>
      </c>
      <c r="F46" s="668">
        <f t="shared" si="5"/>
        <v>628.19766748719996</v>
      </c>
      <c r="G46" s="668">
        <f t="shared" ca="1" si="5"/>
        <v>21370.971302040976</v>
      </c>
      <c r="H46" s="668">
        <f t="shared" si="5"/>
        <v>0</v>
      </c>
      <c r="I46" s="668">
        <f t="shared" si="5"/>
        <v>0</v>
      </c>
      <c r="J46" s="668">
        <f t="shared" si="5"/>
        <v>0</v>
      </c>
      <c r="K46" s="668">
        <f t="shared" si="5"/>
        <v>575.4970895562526</v>
      </c>
      <c r="L46" s="668">
        <f t="shared" si="5"/>
        <v>0</v>
      </c>
      <c r="M46" s="668">
        <f t="shared" ca="1" si="5"/>
        <v>0</v>
      </c>
      <c r="N46" s="668">
        <f t="shared" si="5"/>
        <v>0</v>
      </c>
      <c r="O46" s="668">
        <f t="shared" ca="1" si="5"/>
        <v>0</v>
      </c>
      <c r="P46" s="668">
        <f t="shared" si="5"/>
        <v>0</v>
      </c>
      <c r="Q46" s="668">
        <f t="shared" si="5"/>
        <v>0</v>
      </c>
      <c r="R46" s="668">
        <f ca="1">SUM(R39:R45)</f>
        <v>62403.798334312974</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2.479973517873105</v>
      </c>
      <c r="D49" s="635">
        <f ca="1">transport!C58</f>
        <v>0</v>
      </c>
      <c r="E49" s="635">
        <f>transport!D58</f>
        <v>0</v>
      </c>
      <c r="F49" s="635">
        <f>transport!E58</f>
        <v>0</v>
      </c>
      <c r="G49" s="635">
        <f>transport!F58</f>
        <v>0</v>
      </c>
      <c r="H49" s="635">
        <f>transport!G58</f>
        <v>667.20228186885402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669.68225538672709</v>
      </c>
    </row>
    <row r="50" spans="1:18">
      <c r="A50" s="765" t="s">
        <v>296</v>
      </c>
      <c r="B50" s="775"/>
      <c r="C50" s="930">
        <f ca="1">transport!B18</f>
        <v>0.58446508242088979</v>
      </c>
      <c r="D50" s="930">
        <f>transport!C18</f>
        <v>0</v>
      </c>
      <c r="E50" s="930">
        <f>transport!D18</f>
        <v>1.6975884580747185</v>
      </c>
      <c r="F50" s="930">
        <f>transport!E18</f>
        <v>222.23597250128904</v>
      </c>
      <c r="G50" s="930">
        <f>transport!F18</f>
        <v>0</v>
      </c>
      <c r="H50" s="930">
        <f>transport!G18</f>
        <v>62569.221658078925</v>
      </c>
      <c r="I50" s="930">
        <f>transport!H18</f>
        <v>7479.623416536323</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70273.363100657036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3.064438600293995</v>
      </c>
      <c r="D52" s="668">
        <f t="shared" ref="D52:Q52" ca="1" si="6">SUM(D48:D51)</f>
        <v>0</v>
      </c>
      <c r="E52" s="668">
        <f t="shared" si="6"/>
        <v>1.6975884580747185</v>
      </c>
      <c r="F52" s="668">
        <f t="shared" si="6"/>
        <v>222.23597250128904</v>
      </c>
      <c r="G52" s="668">
        <f t="shared" si="6"/>
        <v>0</v>
      </c>
      <c r="H52" s="668">
        <f t="shared" si="6"/>
        <v>63236.423939947781</v>
      </c>
      <c r="I52" s="668">
        <f t="shared" si="6"/>
        <v>7479.623416536323</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70943.04535604376</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2829.9671063649439</v>
      </c>
      <c r="D54" s="930">
        <f ca="1">+landbouw!C12</f>
        <v>1536.8974789915969</v>
      </c>
      <c r="E54" s="930">
        <f>+landbouw!D12</f>
        <v>8496.6205344680202</v>
      </c>
      <c r="F54" s="930">
        <f>+landbouw!E12</f>
        <v>26.887650598982646</v>
      </c>
      <c r="G54" s="930">
        <f>+landbouw!F12</f>
        <v>13150.417446881473</v>
      </c>
      <c r="H54" s="930">
        <f>+landbouw!G12</f>
        <v>0</v>
      </c>
      <c r="I54" s="930">
        <f>+landbouw!H12</f>
        <v>0</v>
      </c>
      <c r="J54" s="930">
        <f>+landbouw!I12</f>
        <v>0</v>
      </c>
      <c r="K54" s="930">
        <f>+landbouw!J12</f>
        <v>470.87656335059461</v>
      </c>
      <c r="L54" s="930">
        <f>+landbouw!K12</f>
        <v>0</v>
      </c>
      <c r="M54" s="930">
        <f>+landbouw!L12</f>
        <v>0</v>
      </c>
      <c r="N54" s="930">
        <f>+landbouw!M12</f>
        <v>0</v>
      </c>
      <c r="O54" s="930">
        <f>+landbouw!N12</f>
        <v>0</v>
      </c>
      <c r="P54" s="930">
        <f>+landbouw!O12</f>
        <v>0</v>
      </c>
      <c r="Q54" s="931">
        <f>+landbouw!P12</f>
        <v>0</v>
      </c>
      <c r="R54" s="667">
        <f ca="1">SUM(C54:Q54)</f>
        <v>26511.666780655611</v>
      </c>
    </row>
    <row r="55" spans="1:18" ht="15" thickBot="1">
      <c r="A55" s="765" t="s">
        <v>864</v>
      </c>
      <c r="B55" s="775"/>
      <c r="C55" s="930">
        <f ca="1">C25*'EF ele_warmte'!B12</f>
        <v>467.4474734678343</v>
      </c>
      <c r="D55" s="930"/>
      <c r="E55" s="930">
        <f>E25*EF_CO2_aardgas</f>
        <v>748.78005302776205</v>
      </c>
      <c r="F55" s="930"/>
      <c r="G55" s="930"/>
      <c r="H55" s="930"/>
      <c r="I55" s="930"/>
      <c r="J55" s="930"/>
      <c r="K55" s="930"/>
      <c r="L55" s="930"/>
      <c r="M55" s="930"/>
      <c r="N55" s="930"/>
      <c r="O55" s="930"/>
      <c r="P55" s="930"/>
      <c r="Q55" s="931"/>
      <c r="R55" s="667">
        <f ca="1">SUM(C55:Q55)</f>
        <v>1216.2275264955963</v>
      </c>
    </row>
    <row r="56" spans="1:18" ht="15.75" thickBot="1">
      <c r="A56" s="763" t="s">
        <v>865</v>
      </c>
      <c r="B56" s="776"/>
      <c r="C56" s="668">
        <f ca="1">SUM(C54:C55)</f>
        <v>3297.4145798327781</v>
      </c>
      <c r="D56" s="668">
        <f t="shared" ref="D56:Q56" ca="1" si="7">SUM(D54:D55)</f>
        <v>1536.8974789915969</v>
      </c>
      <c r="E56" s="668">
        <f t="shared" si="7"/>
        <v>9245.400587495782</v>
      </c>
      <c r="F56" s="668">
        <f t="shared" si="7"/>
        <v>26.887650598982646</v>
      </c>
      <c r="G56" s="668">
        <f t="shared" si="7"/>
        <v>13150.417446881473</v>
      </c>
      <c r="H56" s="668">
        <f t="shared" si="7"/>
        <v>0</v>
      </c>
      <c r="I56" s="668">
        <f t="shared" si="7"/>
        <v>0</v>
      </c>
      <c r="J56" s="668">
        <f t="shared" si="7"/>
        <v>0</v>
      </c>
      <c r="K56" s="668">
        <f t="shared" si="7"/>
        <v>470.87656335059461</v>
      </c>
      <c r="L56" s="668">
        <f t="shared" si="7"/>
        <v>0</v>
      </c>
      <c r="M56" s="668">
        <f t="shared" si="7"/>
        <v>0</v>
      </c>
      <c r="N56" s="668">
        <f t="shared" si="7"/>
        <v>0</v>
      </c>
      <c r="O56" s="668">
        <f t="shared" si="7"/>
        <v>0</v>
      </c>
      <c r="P56" s="668">
        <f t="shared" si="7"/>
        <v>0</v>
      </c>
      <c r="Q56" s="669">
        <f t="shared" si="7"/>
        <v>0</v>
      </c>
      <c r="R56" s="670">
        <f ca="1">SUM(R54:R55)</f>
        <v>27727.894307151208</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21136.850993418277</v>
      </c>
      <c r="D61" s="676">
        <f t="shared" ref="D61:Q61" ca="1" si="8">D46+D52+D56</f>
        <v>1563.632773109244</v>
      </c>
      <c r="E61" s="676">
        <f t="shared" ca="1" si="8"/>
        <v>31213.123182079551</v>
      </c>
      <c r="F61" s="676">
        <f t="shared" si="8"/>
        <v>877.32129058747159</v>
      </c>
      <c r="G61" s="676">
        <f t="shared" ca="1" si="8"/>
        <v>34521.388748922451</v>
      </c>
      <c r="H61" s="676">
        <f t="shared" si="8"/>
        <v>63236.423939947781</v>
      </c>
      <c r="I61" s="676">
        <f t="shared" si="8"/>
        <v>7479.623416536323</v>
      </c>
      <c r="J61" s="676">
        <f t="shared" si="8"/>
        <v>0</v>
      </c>
      <c r="K61" s="676">
        <f t="shared" si="8"/>
        <v>1046.3736529068472</v>
      </c>
      <c r="L61" s="676">
        <f t="shared" si="8"/>
        <v>0</v>
      </c>
      <c r="M61" s="676">
        <f t="shared" ca="1" si="8"/>
        <v>0</v>
      </c>
      <c r="N61" s="676">
        <f t="shared" si="8"/>
        <v>0</v>
      </c>
      <c r="O61" s="676">
        <f t="shared" ca="1" si="8"/>
        <v>0</v>
      </c>
      <c r="P61" s="676">
        <f t="shared" si="8"/>
        <v>0</v>
      </c>
      <c r="Q61" s="676">
        <f t="shared" si="8"/>
        <v>0</v>
      </c>
      <c r="R61" s="676">
        <f ca="1">R46+R52+R56</f>
        <v>161074.73799750794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0.21529816966693607</v>
      </c>
      <c r="D63" s="720">
        <f t="shared" ca="1" si="9"/>
        <v>0.23764705882352946</v>
      </c>
      <c r="E63" s="932">
        <f t="shared" ca="1" si="9"/>
        <v>0.20200000000000004</v>
      </c>
      <c r="F63" s="720">
        <f t="shared" si="9"/>
        <v>0.22699999999999998</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2879.8558567431855</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4605.75</v>
      </c>
      <c r="D76" s="942">
        <f>'lokale energieproductie'!C8</f>
        <v>5418.5294117647072</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1094.542941176471</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2879.8558567431855</v>
      </c>
      <c r="C78" s="691">
        <f>SUM(C72:C77)</f>
        <v>4605.75</v>
      </c>
      <c r="D78" s="692">
        <f t="shared" ref="D78:H78" si="10">SUM(D76:D77)</f>
        <v>5418.5294117647072</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1094.542941176471</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6579.6428571428569</v>
      </c>
      <c r="D87" s="713">
        <f>'lokale energieproductie'!C17</f>
        <v>7740.7563025210093</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1563.632773109244</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6579.6428571428569</v>
      </c>
      <c r="D90" s="691">
        <f t="shared" ref="D90:H90" si="12">SUM(D87:D89)</f>
        <v>7740.7563025210093</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1563.632773109244</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43098.443237931344</v>
      </c>
      <c r="C4" s="445">
        <f>huishoudens!C8</f>
        <v>0</v>
      </c>
      <c r="D4" s="445">
        <f>huishoudens!D8</f>
        <v>61789.656218481461</v>
      </c>
      <c r="E4" s="445">
        <f>huishoudens!E8</f>
        <v>2083.4538259125234</v>
      </c>
      <c r="F4" s="445">
        <f>huishoudens!F8</f>
        <v>71117.43719445981</v>
      </c>
      <c r="G4" s="445">
        <f>huishoudens!G8</f>
        <v>0</v>
      </c>
      <c r="H4" s="445">
        <f>huishoudens!H8</f>
        <v>0</v>
      </c>
      <c r="I4" s="445">
        <f>huishoudens!I8</f>
        <v>0</v>
      </c>
      <c r="J4" s="445">
        <f>huishoudens!J8</f>
        <v>1601.3843824922294</v>
      </c>
      <c r="K4" s="445">
        <f>huishoudens!K8</f>
        <v>0</v>
      </c>
      <c r="L4" s="445">
        <f>huishoudens!L8</f>
        <v>0</v>
      </c>
      <c r="M4" s="445">
        <f>huishoudens!M8</f>
        <v>0</v>
      </c>
      <c r="N4" s="445">
        <f>huishoudens!N8</f>
        <v>10348.567111974126</v>
      </c>
      <c r="O4" s="445">
        <f>huishoudens!O8</f>
        <v>182.91000000000003</v>
      </c>
      <c r="P4" s="446">
        <f>huishoudens!P8</f>
        <v>286</v>
      </c>
      <c r="Q4" s="447">
        <f>SUM(B4:P4)</f>
        <v>190507.85197125148</v>
      </c>
    </row>
    <row r="5" spans="1:17">
      <c r="A5" s="444" t="s">
        <v>149</v>
      </c>
      <c r="B5" s="445">
        <f ca="1">tertiair!B16</f>
        <v>30462.86544908139</v>
      </c>
      <c r="C5" s="445">
        <f ca="1">tertiair!C16</f>
        <v>112.5</v>
      </c>
      <c r="D5" s="445">
        <f ca="1">tertiair!D16</f>
        <v>26361.292648872535</v>
      </c>
      <c r="E5" s="445">
        <f>tertiair!E16</f>
        <v>583.17386955731672</v>
      </c>
      <c r="F5" s="445">
        <f ca="1">tertiair!F16</f>
        <v>5216.2997436614187</v>
      </c>
      <c r="G5" s="445">
        <f>tertiair!G16</f>
        <v>0</v>
      </c>
      <c r="H5" s="445">
        <f>tertiair!H16</f>
        <v>0</v>
      </c>
      <c r="I5" s="445">
        <f>tertiair!I16</f>
        <v>0</v>
      </c>
      <c r="J5" s="445">
        <f>tertiair!J16</f>
        <v>0</v>
      </c>
      <c r="K5" s="445">
        <f>tertiair!K16</f>
        <v>0</v>
      </c>
      <c r="L5" s="445">
        <f ca="1">tertiair!L16</f>
        <v>0</v>
      </c>
      <c r="M5" s="445">
        <f>tertiair!M16</f>
        <v>0</v>
      </c>
      <c r="N5" s="445">
        <f ca="1">tertiair!N16</f>
        <v>670.18168385335537</v>
      </c>
      <c r="O5" s="445">
        <f>tertiair!O16</f>
        <v>1.5633333333333335</v>
      </c>
      <c r="P5" s="446">
        <f>tertiair!P16</f>
        <v>19.066666666666666</v>
      </c>
      <c r="Q5" s="444">
        <f t="shared" ref="Q5:Q14" ca="1" si="0">SUM(B5:P5)</f>
        <v>63426.943395026014</v>
      </c>
    </row>
    <row r="6" spans="1:17">
      <c r="A6" s="444" t="s">
        <v>187</v>
      </c>
      <c r="B6" s="445">
        <f>'openbare verlichting'!B8</f>
        <v>1713.9680000000001</v>
      </c>
      <c r="C6" s="445"/>
      <c r="D6" s="445"/>
      <c r="E6" s="445"/>
      <c r="F6" s="445"/>
      <c r="G6" s="445"/>
      <c r="H6" s="445"/>
      <c r="I6" s="445"/>
      <c r="J6" s="445"/>
      <c r="K6" s="445"/>
      <c r="L6" s="445"/>
      <c r="M6" s="445"/>
      <c r="N6" s="445"/>
      <c r="O6" s="445"/>
      <c r="P6" s="446"/>
      <c r="Q6" s="444">
        <f t="shared" si="0"/>
        <v>1713.9680000000001</v>
      </c>
    </row>
    <row r="7" spans="1:17">
      <c r="A7" s="444" t="s">
        <v>105</v>
      </c>
      <c r="B7" s="445">
        <f>landbouw!B8</f>
        <v>13144.408569487015</v>
      </c>
      <c r="C7" s="445">
        <f>landbouw!C8</f>
        <v>6467.1428571428569</v>
      </c>
      <c r="D7" s="445">
        <f>landbouw!D8</f>
        <v>42062.477893406038</v>
      </c>
      <c r="E7" s="445">
        <f>landbouw!E8</f>
        <v>118.44779999551825</v>
      </c>
      <c r="F7" s="445">
        <f>landbouw!F8</f>
        <v>49252.499801054204</v>
      </c>
      <c r="G7" s="445">
        <f>landbouw!G8</f>
        <v>0</v>
      </c>
      <c r="H7" s="445">
        <f>landbouw!H8</f>
        <v>0</v>
      </c>
      <c r="I7" s="445">
        <f>landbouw!I8</f>
        <v>0</v>
      </c>
      <c r="J7" s="445">
        <f>landbouw!J8</f>
        <v>1330.1597834762561</v>
      </c>
      <c r="K7" s="445">
        <f>landbouw!K8</f>
        <v>0</v>
      </c>
      <c r="L7" s="445">
        <f>landbouw!L8</f>
        <v>0</v>
      </c>
      <c r="M7" s="445">
        <f>landbouw!M8</f>
        <v>0</v>
      </c>
      <c r="N7" s="445">
        <f>landbouw!N8</f>
        <v>0</v>
      </c>
      <c r="O7" s="445">
        <f>landbouw!O8</f>
        <v>0</v>
      </c>
      <c r="P7" s="446">
        <f>landbouw!P8</f>
        <v>0</v>
      </c>
      <c r="Q7" s="444">
        <f t="shared" si="0"/>
        <v>112375.13670456188</v>
      </c>
    </row>
    <row r="8" spans="1:17">
      <c r="A8" s="444" t="s">
        <v>613</v>
      </c>
      <c r="B8" s="445">
        <f>industrie!B18</f>
        <v>7569.7005953203243</v>
      </c>
      <c r="C8" s="445">
        <f>industrie!C18</f>
        <v>0</v>
      </c>
      <c r="D8" s="445">
        <f>industrie!D18</f>
        <v>20591.749182773186</v>
      </c>
      <c r="E8" s="445">
        <f>industrie!E18</f>
        <v>100.76291020064411</v>
      </c>
      <c r="F8" s="445">
        <f>industrie!F18</f>
        <v>3707.3540807588233</v>
      </c>
      <c r="G8" s="445">
        <f>industrie!G18</f>
        <v>0</v>
      </c>
      <c r="H8" s="445">
        <f>industrie!H18</f>
        <v>0</v>
      </c>
      <c r="I8" s="445">
        <f>industrie!I18</f>
        <v>0</v>
      </c>
      <c r="J8" s="445">
        <f>industrie!J18</f>
        <v>24.313610604529302</v>
      </c>
      <c r="K8" s="445">
        <f>industrie!K18</f>
        <v>0</v>
      </c>
      <c r="L8" s="445">
        <f>industrie!L18</f>
        <v>0</v>
      </c>
      <c r="M8" s="445">
        <f>industrie!M18</f>
        <v>0</v>
      </c>
      <c r="N8" s="445">
        <f>industrie!N18</f>
        <v>344.7139563334128</v>
      </c>
      <c r="O8" s="445">
        <f>industrie!O18</f>
        <v>0</v>
      </c>
      <c r="P8" s="446">
        <f>industrie!P18</f>
        <v>0</v>
      </c>
      <c r="Q8" s="444">
        <f t="shared" si="0"/>
        <v>32338.594335990922</v>
      </c>
    </row>
    <row r="9" spans="1:17" s="450" customFormat="1">
      <c r="A9" s="448" t="s">
        <v>555</v>
      </c>
      <c r="B9" s="449">
        <f>transport!B14</f>
        <v>2.7146774323490579</v>
      </c>
      <c r="C9" s="449">
        <f>transport!C14</f>
        <v>0</v>
      </c>
      <c r="D9" s="449">
        <f>transport!D14</f>
        <v>8.4039032577956352</v>
      </c>
      <c r="E9" s="449">
        <f>transport!E14</f>
        <v>979.01309471933496</v>
      </c>
      <c r="F9" s="449">
        <f>transport!F14</f>
        <v>0</v>
      </c>
      <c r="G9" s="449">
        <f>transport!G14</f>
        <v>234341.65415010831</v>
      </c>
      <c r="H9" s="449">
        <f>transport!H14</f>
        <v>30038.64825918202</v>
      </c>
      <c r="I9" s="449">
        <f>transport!I14</f>
        <v>0</v>
      </c>
      <c r="J9" s="449">
        <f>transport!J14</f>
        <v>0</v>
      </c>
      <c r="K9" s="449">
        <f>transport!K14</f>
        <v>0</v>
      </c>
      <c r="L9" s="449">
        <f>transport!L14</f>
        <v>0</v>
      </c>
      <c r="M9" s="449">
        <f>transport!M14</f>
        <v>11477.775817262698</v>
      </c>
      <c r="N9" s="449">
        <f>transport!N14</f>
        <v>0</v>
      </c>
      <c r="O9" s="449">
        <f>transport!O14</f>
        <v>0</v>
      </c>
      <c r="P9" s="449">
        <f>transport!P14</f>
        <v>0</v>
      </c>
      <c r="Q9" s="448">
        <f>SUM(B9:P9)</f>
        <v>276848.20990196249</v>
      </c>
    </row>
    <row r="10" spans="1:17">
      <c r="A10" s="444" t="s">
        <v>545</v>
      </c>
      <c r="B10" s="445">
        <f>transport!B54</f>
        <v>11.51878588521954</v>
      </c>
      <c r="C10" s="445">
        <f>transport!C54</f>
        <v>0</v>
      </c>
      <c r="D10" s="445">
        <f>transport!D54</f>
        <v>0</v>
      </c>
      <c r="E10" s="445">
        <f>transport!E54</f>
        <v>0</v>
      </c>
      <c r="F10" s="445">
        <f>transport!F54</f>
        <v>0</v>
      </c>
      <c r="G10" s="445">
        <f>transport!G54</f>
        <v>2498.8849508196777</v>
      </c>
      <c r="H10" s="445">
        <f>transport!H54</f>
        <v>0</v>
      </c>
      <c r="I10" s="445">
        <f>transport!I54</f>
        <v>0</v>
      </c>
      <c r="J10" s="445">
        <f>transport!J54</f>
        <v>0</v>
      </c>
      <c r="K10" s="445">
        <f>transport!K54</f>
        <v>0</v>
      </c>
      <c r="L10" s="445">
        <f>transport!L54</f>
        <v>0</v>
      </c>
      <c r="M10" s="445">
        <f>transport!M54</f>
        <v>106.99265475471087</v>
      </c>
      <c r="N10" s="445">
        <f>transport!N54</f>
        <v>0</v>
      </c>
      <c r="O10" s="445">
        <f>transport!O54</f>
        <v>0</v>
      </c>
      <c r="P10" s="446">
        <f>transport!P54</f>
        <v>0</v>
      </c>
      <c r="Q10" s="444">
        <f t="shared" si="0"/>
        <v>2617.3963914596079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2171.1632485820501</v>
      </c>
      <c r="C14" s="452"/>
      <c r="D14" s="452">
        <f>'SEAP template'!E25</f>
        <v>3706.83194568199</v>
      </c>
      <c r="E14" s="452"/>
      <c r="F14" s="452"/>
      <c r="G14" s="452"/>
      <c r="H14" s="452"/>
      <c r="I14" s="452"/>
      <c r="J14" s="452"/>
      <c r="K14" s="452"/>
      <c r="L14" s="452"/>
      <c r="M14" s="452"/>
      <c r="N14" s="452"/>
      <c r="O14" s="452"/>
      <c r="P14" s="453"/>
      <c r="Q14" s="444">
        <f t="shared" si="0"/>
        <v>5877.99519426404</v>
      </c>
    </row>
    <row r="15" spans="1:17" s="457" customFormat="1">
      <c r="A15" s="454" t="s">
        <v>549</v>
      </c>
      <c r="B15" s="455">
        <f ca="1">SUM(B4:B14)</f>
        <v>98174.782563719666</v>
      </c>
      <c r="C15" s="455">
        <f t="shared" ref="C15:Q15" ca="1" si="1">SUM(C4:C14)</f>
        <v>6579.6428571428569</v>
      </c>
      <c r="D15" s="455">
        <f t="shared" ca="1" si="1"/>
        <v>154520.41179247299</v>
      </c>
      <c r="E15" s="455">
        <f t="shared" si="1"/>
        <v>3864.8515003853372</v>
      </c>
      <c r="F15" s="455">
        <f t="shared" ca="1" si="1"/>
        <v>129293.59081993427</v>
      </c>
      <c r="G15" s="455">
        <f t="shared" si="1"/>
        <v>236840.539100928</v>
      </c>
      <c r="H15" s="455">
        <f t="shared" si="1"/>
        <v>30038.64825918202</v>
      </c>
      <c r="I15" s="455">
        <f t="shared" si="1"/>
        <v>0</v>
      </c>
      <c r="J15" s="455">
        <f t="shared" si="1"/>
        <v>2955.8577765730151</v>
      </c>
      <c r="K15" s="455">
        <f t="shared" si="1"/>
        <v>0</v>
      </c>
      <c r="L15" s="455">
        <f t="shared" ca="1" si="1"/>
        <v>0</v>
      </c>
      <c r="M15" s="455">
        <f t="shared" si="1"/>
        <v>11584.768472017409</v>
      </c>
      <c r="N15" s="455">
        <f t="shared" ca="1" si="1"/>
        <v>11363.462752160895</v>
      </c>
      <c r="O15" s="455">
        <f t="shared" si="1"/>
        <v>184.47333333333336</v>
      </c>
      <c r="P15" s="455">
        <f t="shared" si="1"/>
        <v>305.06666666666666</v>
      </c>
      <c r="Q15" s="455">
        <f t="shared" ca="1" si="1"/>
        <v>685706.09589451633</v>
      </c>
    </row>
    <row r="17" spans="1:17">
      <c r="A17" s="458" t="s">
        <v>550</v>
      </c>
      <c r="B17" s="725">
        <f ca="1">huishoudens!B10</f>
        <v>0.21529816966693607</v>
      </c>
      <c r="C17" s="725">
        <f ca="1">huishoudens!C10</f>
        <v>0.23764705882352946</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9279.0159446209564</v>
      </c>
      <c r="C22" s="445">
        <f t="shared" ref="C22:C32" ca="1" si="3">C4*$C$17</f>
        <v>0</v>
      </c>
      <c r="D22" s="445">
        <f t="shared" ref="D22:D32" si="4">D4*$D$17</f>
        <v>12481.510556133257</v>
      </c>
      <c r="E22" s="445">
        <f t="shared" ref="E22:E32" si="5">E4*$E$17</f>
        <v>472.94401848214284</v>
      </c>
      <c r="F22" s="445">
        <f t="shared" ref="F22:F32" si="6">F4*$F$17</f>
        <v>18988.355730920772</v>
      </c>
      <c r="G22" s="445">
        <f t="shared" ref="G22:G32" si="7">G4*$G$17</f>
        <v>0</v>
      </c>
      <c r="H22" s="445">
        <f t="shared" ref="H22:H32" si="8">H4*$H$17</f>
        <v>0</v>
      </c>
      <c r="I22" s="445">
        <f t="shared" ref="I22:I32" si="9">I4*$I$17</f>
        <v>0</v>
      </c>
      <c r="J22" s="445">
        <f t="shared" ref="J22:J32" si="10">J4*$J$17</f>
        <v>566.89007140224919</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41788.716321559376</v>
      </c>
    </row>
    <row r="23" spans="1:17">
      <c r="A23" s="444" t="s">
        <v>149</v>
      </c>
      <c r="B23" s="445">
        <f t="shared" ca="1" si="2"/>
        <v>6558.5991739973697</v>
      </c>
      <c r="C23" s="445">
        <f t="shared" ca="1" si="3"/>
        <v>26.735294117647065</v>
      </c>
      <c r="D23" s="445">
        <f t="shared" ca="1" si="4"/>
        <v>5324.9811150722526</v>
      </c>
      <c r="E23" s="445">
        <f t="shared" si="5"/>
        <v>132.3804683895109</v>
      </c>
      <c r="F23" s="445">
        <f t="shared" ca="1" si="6"/>
        <v>1392.7520315575989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13435.448083134377</v>
      </c>
    </row>
    <row r="24" spans="1:17">
      <c r="A24" s="444" t="s">
        <v>187</v>
      </c>
      <c r="B24" s="445">
        <f t="shared" ca="1" si="2"/>
        <v>369.01417326769911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369.01417326769911</v>
      </c>
    </row>
    <row r="25" spans="1:17">
      <c r="A25" s="444" t="s">
        <v>105</v>
      </c>
      <c r="B25" s="445">
        <f t="shared" ca="1" si="2"/>
        <v>2829.9671063649439</v>
      </c>
      <c r="C25" s="445">
        <f t="shared" ca="1" si="3"/>
        <v>1536.8974789915969</v>
      </c>
      <c r="D25" s="445">
        <f t="shared" si="4"/>
        <v>8496.6205344680202</v>
      </c>
      <c r="E25" s="445">
        <f t="shared" si="5"/>
        <v>26.887650598982646</v>
      </c>
      <c r="F25" s="445">
        <f t="shared" si="6"/>
        <v>13150.417446881473</v>
      </c>
      <c r="G25" s="445">
        <f t="shared" si="7"/>
        <v>0</v>
      </c>
      <c r="H25" s="445">
        <f t="shared" si="8"/>
        <v>0</v>
      </c>
      <c r="I25" s="445">
        <f t="shared" si="9"/>
        <v>0</v>
      </c>
      <c r="J25" s="445">
        <f t="shared" si="10"/>
        <v>470.87656335059461</v>
      </c>
      <c r="K25" s="445">
        <f t="shared" si="11"/>
        <v>0</v>
      </c>
      <c r="L25" s="445">
        <f t="shared" si="12"/>
        <v>0</v>
      </c>
      <c r="M25" s="445">
        <f t="shared" si="13"/>
        <v>0</v>
      </c>
      <c r="N25" s="445">
        <f t="shared" si="14"/>
        <v>0</v>
      </c>
      <c r="O25" s="445">
        <f t="shared" si="15"/>
        <v>0</v>
      </c>
      <c r="P25" s="446">
        <f t="shared" si="16"/>
        <v>0</v>
      </c>
      <c r="Q25" s="444">
        <f t="shared" ca="1" si="17"/>
        <v>26511.666780655611</v>
      </c>
    </row>
    <row r="26" spans="1:17">
      <c r="A26" s="444" t="s">
        <v>613</v>
      </c>
      <c r="B26" s="445">
        <f t="shared" ca="1" si="2"/>
        <v>1629.7426830991822</v>
      </c>
      <c r="C26" s="445">
        <f t="shared" ca="1" si="3"/>
        <v>0</v>
      </c>
      <c r="D26" s="445">
        <f t="shared" si="4"/>
        <v>4159.5333349201837</v>
      </c>
      <c r="E26" s="445">
        <f t="shared" si="5"/>
        <v>22.873180615546215</v>
      </c>
      <c r="F26" s="445">
        <f t="shared" si="6"/>
        <v>989.86353956260587</v>
      </c>
      <c r="G26" s="445">
        <f t="shared" si="7"/>
        <v>0</v>
      </c>
      <c r="H26" s="445">
        <f t="shared" si="8"/>
        <v>0</v>
      </c>
      <c r="I26" s="445">
        <f t="shared" si="9"/>
        <v>0</v>
      </c>
      <c r="J26" s="445">
        <f t="shared" si="10"/>
        <v>8.6070181540033719</v>
      </c>
      <c r="K26" s="445">
        <f t="shared" si="11"/>
        <v>0</v>
      </c>
      <c r="L26" s="445">
        <f t="shared" si="12"/>
        <v>0</v>
      </c>
      <c r="M26" s="445">
        <f t="shared" si="13"/>
        <v>0</v>
      </c>
      <c r="N26" s="445">
        <f t="shared" si="14"/>
        <v>0</v>
      </c>
      <c r="O26" s="445">
        <f t="shared" si="15"/>
        <v>0</v>
      </c>
      <c r="P26" s="446">
        <f t="shared" si="16"/>
        <v>0</v>
      </c>
      <c r="Q26" s="444">
        <f t="shared" ca="1" si="17"/>
        <v>6810.6197563515216</v>
      </c>
    </row>
    <row r="27" spans="1:17" s="450" customFormat="1">
      <c r="A27" s="448" t="s">
        <v>555</v>
      </c>
      <c r="B27" s="719">
        <f t="shared" ca="1" si="2"/>
        <v>0.58446508242088979</v>
      </c>
      <c r="C27" s="449">
        <f t="shared" ca="1" si="3"/>
        <v>0</v>
      </c>
      <c r="D27" s="449">
        <f t="shared" si="4"/>
        <v>1.6975884580747185</v>
      </c>
      <c r="E27" s="449">
        <f t="shared" si="5"/>
        <v>222.23597250128904</v>
      </c>
      <c r="F27" s="449">
        <f t="shared" si="6"/>
        <v>0</v>
      </c>
      <c r="G27" s="449">
        <f t="shared" si="7"/>
        <v>62569.221658078925</v>
      </c>
      <c r="H27" s="449">
        <f t="shared" si="8"/>
        <v>7479.623416536323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70273.363100657036</v>
      </c>
    </row>
    <row r="28" spans="1:17">
      <c r="A28" s="444" t="s">
        <v>545</v>
      </c>
      <c r="B28" s="445">
        <f t="shared" ca="1" si="2"/>
        <v>2.479973517873105</v>
      </c>
      <c r="C28" s="445">
        <f t="shared" ca="1" si="3"/>
        <v>0</v>
      </c>
      <c r="D28" s="445">
        <f t="shared" si="4"/>
        <v>0</v>
      </c>
      <c r="E28" s="445">
        <f t="shared" si="5"/>
        <v>0</v>
      </c>
      <c r="F28" s="445">
        <f t="shared" si="6"/>
        <v>0</v>
      </c>
      <c r="G28" s="445">
        <f t="shared" si="7"/>
        <v>667.20228186885402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669.68225538672709</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467.4474734678343</v>
      </c>
      <c r="C32" s="445">
        <f t="shared" ca="1" si="3"/>
        <v>0</v>
      </c>
      <c r="D32" s="445">
        <f t="shared" si="4"/>
        <v>748.78005302776205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1216.2275264955963</v>
      </c>
    </row>
    <row r="33" spans="1:17" s="457" customFormat="1">
      <c r="A33" s="454" t="s">
        <v>549</v>
      </c>
      <c r="B33" s="455">
        <f ca="1">SUM(B22:B32)</f>
        <v>21136.850993418284</v>
      </c>
      <c r="C33" s="455">
        <f t="shared" ref="C33:Q33" ca="1" si="19">SUM(C22:C32)</f>
        <v>1563.632773109244</v>
      </c>
      <c r="D33" s="455">
        <f t="shared" ca="1" si="19"/>
        <v>31213.123182079551</v>
      </c>
      <c r="E33" s="455">
        <f t="shared" si="19"/>
        <v>877.32129058747159</v>
      </c>
      <c r="F33" s="455">
        <f t="shared" ca="1" si="19"/>
        <v>34521.388748922451</v>
      </c>
      <c r="G33" s="455">
        <f t="shared" si="19"/>
        <v>63236.423939947781</v>
      </c>
      <c r="H33" s="455">
        <f t="shared" si="19"/>
        <v>7479.623416536323</v>
      </c>
      <c r="I33" s="455">
        <f t="shared" si="19"/>
        <v>0</v>
      </c>
      <c r="J33" s="455">
        <f t="shared" si="19"/>
        <v>1046.3736529068472</v>
      </c>
      <c r="K33" s="455">
        <f t="shared" si="19"/>
        <v>0</v>
      </c>
      <c r="L33" s="455">
        <f t="shared" ca="1" si="19"/>
        <v>0</v>
      </c>
      <c r="M33" s="455">
        <f t="shared" si="19"/>
        <v>0</v>
      </c>
      <c r="N33" s="455">
        <f t="shared" ca="1" si="19"/>
        <v>0</v>
      </c>
      <c r="O33" s="455">
        <f t="shared" si="19"/>
        <v>0</v>
      </c>
      <c r="P33" s="455">
        <f t="shared" si="19"/>
        <v>0</v>
      </c>
      <c r="Q33" s="455">
        <f t="shared" ca="1" si="19"/>
        <v>161074.73799750791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2879.8558567431855</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4605.75</v>
      </c>
      <c r="D8" s="963">
        <f>'SEAP template'!D76</f>
        <v>5418.5294117647072</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1094.542941176471</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2879.8558567431855</v>
      </c>
      <c r="C10" s="967">
        <f>SUM(C4:C9)</f>
        <v>4605.75</v>
      </c>
      <c r="D10" s="967">
        <f t="shared" ref="D10:H10" si="0">SUM(D8:D9)</f>
        <v>5418.5294117647072</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1094.542941176471</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0.21529816966693607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6579.6428571428569</v>
      </c>
      <c r="D17" s="964">
        <f>'SEAP template'!D87</f>
        <v>7740.7563025210093</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1563.632773109244</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6579.6428571428569</v>
      </c>
      <c r="D20" s="967">
        <f t="shared" ref="D20:H20" si="2">SUM(D17:D19)</f>
        <v>7740.7563025210093</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1563.632773109244</v>
      </c>
    </row>
    <row r="22" spans="1:16">
      <c r="A22" s="458" t="s">
        <v>885</v>
      </c>
      <c r="B22" s="725" t="s">
        <v>879</v>
      </c>
      <c r="C22" s="72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0.21529816966693607</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2022-07-26T13:02:27Z</dcterms:modified>
</cp:coreProperties>
</file>