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3A805F02-F3BB-45EA-BC23-BC0F69BC394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<sst xmlns="http://schemas.openxmlformats.org/spreadsheetml/2006/main" count="2518" uniqueCount="965">
  <si>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</si>
  <si>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</si>
  <si>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</si>
  <si>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</si>
  <si>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</si>
  <si>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</si>
  <si>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</si>
  <si>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</si>
  <si>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</si>
  <si>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</si>
  <si>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</si>
  <si>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</si>
  <si>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</si>
  <si>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</si>
  <si>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</si>
  <si>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</si>
  <si>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</si>
  <si>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</si>
  <si>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</si>
  <si>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</si>
  <si>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</si>
  <si>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</si>
  <si>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</si>
  <si>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</si>
  <si>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</si>
  <si>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</si>
  <si>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</si>
  <si>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</si>
  <si>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</si>
  <si>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</si>
  <si>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</si>
  <si>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</si>
  <si>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</si>
  <si>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</si>
  <si>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</si>
  <si>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</si>
  <si>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</si>
  <si>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</si>
  <si>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</si>
  <si>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</si>
  <si>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</si>
  <si>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</si>
  <si>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</si>
  <si>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</si>
  <si>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</si>
  <si>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</si>
  <si>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</si>
  <si>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</si>
  <si>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</si>
  <si>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</si>
  <si>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</si>
  <si>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</si>
  <si>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</si>
  <si>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</si>
  <si>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</si>
  <si>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</si>
  <si>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</si>
  <si>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</si>
  <si>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</si>
  <si>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</si>
  <si>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</si>
  <si>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</si>
  <si>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</si>
  <si>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</si>
  <si>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</si>
  <si>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</si>
  <si>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</si>
  <si>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</si>
  <si>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</si>
  <si>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</si>
  <si>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</si>
  <si>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</si>
  <si>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</si>
  <si>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</si>
  <si>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</si>
  <si>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</si>
  <si>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</si>
  <si>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</si>
  <si>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</si>
  <si>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</si>
  <si>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</si>
  <si>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</si>
  <si>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</si>
  <si>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</si>
  <si>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</si>
  <si>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</si>
  <si>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</si>
  <si>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</si>
  <si>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</si>
  <si>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</si>
  <si>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</si>
  <si>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</si>
  <si>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</si>
  <si>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</si>
  <si>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</si>
  <si>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</si>
  <si>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</si>
  <si>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</si>
  <si>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</si>
  <si>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</si>
  <si>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</si>
  <si>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</si>
  <si>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</si>
  <si>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</si>
  <si>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</si>
  <si>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</si>
  <si>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</si>
  <si>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</si>
  <si>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</si>
  <si>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</si>
  <si>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</si>
  <si>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</si>
  <si>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</si>
  <si>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</si>
  <si>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</si>
  <si>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</si>
  <si>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</si>
  <si>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</si>
  <si>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</si>
  <si>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</si>
  <si>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</si>
  <si>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</si>
  <si>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</si>
  <si>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</si>
  <si>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</si>
  <si>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</si>
  <si>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</si>
  <si>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</si>
  <si>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</si>
  <si>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</si>
  <si>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</si>
  <si>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</si>
  <si>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</si>
  <si>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</si>
  <si>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</si>
  <si>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</si>
  <si>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</si>
  <si>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</si>
  <si>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</si>
  <si>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</si>
  <si>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</si>
  <si>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</si>
  <si>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</si>
  <si>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</si>
  <si>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</si>
  <si>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</si>
  <si>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</si>
  <si>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</si>
  <si>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</si>
  <si>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</si>
  <si>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</si>
  <si>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</si>
  <si>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</si>
  <si>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</si>
  <si>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</si>
  <si>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</si>
  <si>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</si>
  <si>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</si>
  <si>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</si>
  <si>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</si>
  <si>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</si>
  <si>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</si>
  <si>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</si>
  <si>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</si>
  <si>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</si>
  <si>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</si>
  <si>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</si>
  <si>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</si>
  <si>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</si>
  <si>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</si>
  <si>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</si>
  <si>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</si>
  <si>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</si>
  <si>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</si>
  <si>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</si>
  <si>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</si>
  <si>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</si>
  <si>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</si>
  <si>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</si>
  <si>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</si>
  <si>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</si>
  <si>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</si>
  <si>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</si>
  <si>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</si>
  <si>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</si>
  <si>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</si>
  <si>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</si>
  <si>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</si>
  <si>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</si>
  <si>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</si>
  <si>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</si>
  <si>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</si>
  <si>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</si>
  <si>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</si>
  <si>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</si>
  <si>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</si>
  <si>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</si>
  <si>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</si>
  <si>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</si>
  <si>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</si>
  <si>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</si>
  <si>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</si>
  <si>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</si>
  <si>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</si>
  <si>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</si>
  <si>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</si>
  <si>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</si>
  <si>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</si>
  <si>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</si>
  <si>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</si>
  <si>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</si>
  <si>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</si>
  <si>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</si>
  <si>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</si>
  <si>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</si>
  <si>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</si>
  <si>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</si>
  <si>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</si>
  <si>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</si>
  <si>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</si>
  <si>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</si>
  <si>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</si>
  <si>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</si>
  <si>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</si>
  <si>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</si>
  <si>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</si>
  <si>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</si>
  <si>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</si>
  <si>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</si>
  <si>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</si>
  <si>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</si>
  <si>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</si>
  <si>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</si>
  <si>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</si>
  <si>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</si>
  <si>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</si>
  <si>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</si>
  <si>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</si>
  <si>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</si>
  <si>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</si>
  <si>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</si>
  <si>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</si>
  <si>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</si>
  <si>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</si>
  <si>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</si>
  <si>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</si>
  <si>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</si>
  <si>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</si>
  <si>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</si>
  <si>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</si>
  <si>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</si>
  <si>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</si>
  <si>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</si>
  <si>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</si>
  <si>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</si>
  <si>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</si>
  <si>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</si>
  <si>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</si>
  <si>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</si>
  <si>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</si>
  <si>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</si>
  <si>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</si>
  <si>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</si>
  <si>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</si>
  <si>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</si>
  <si>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</si>
  <si>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</si>
  <si>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</si>
  <si>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</si>
  <si>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</si>
  <si>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</si>
  <si>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</si>
  <si>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</si>
  <si>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</si>
  <si>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</si>
  <si>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</si>
  <si>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</si>
  <si>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</si>
  <si>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</si>
  <si>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</si>
  <si>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</si>
  <si>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</si>
  <si>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</si>
  <si>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</si>
  <si>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</si>
  <si>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</si>
  <si>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</si>
  <si>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</si>
  <si>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</si>
  <si>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</si>
  <si>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</si>
  <si>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</si>
  <si>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</si>
  <si>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</si>
  <si>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</si>
  <si>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</si>
  <si>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</si>
  <si>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</si>
  <si>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</si>
  <si>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</si>
  <si>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</si>
  <si>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</si>
  <si>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</si>
  <si>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</si>
  <si>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</si>
  <si>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</si>
  <si>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</si>
  <si>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</si>
  <si>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</si>
  <si>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</si>
  <si>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</si>
  <si>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</si>
  <si>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</si>
  <si>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</si>
  <si>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</si>
  <si>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</si>
  <si>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</si>
  <si>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</si>
  <si>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</si>
  <si>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</si>
  <si>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</si>
  <si>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</si>
  <si>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</si>
  <si>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</si>
  <si>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</si>
  <si>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</si>
  <si>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</si>
  <si>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</si>
  <si>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</si>
  <si>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</si>
  <si>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</si>
  <si>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</si>
  <si>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</si>
  <si>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</si>
  <si>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</si>
  <si>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</si>
  <si>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</si>
  <si>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</si>
  <si>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</si>
  <si>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</si>
  <si>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</si>
  <si>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</si>
  <si>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</si>
  <si>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</si>
  <si>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</si>
  <si>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</si>
  <si>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</si>
  <si>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</si>
  <si>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</si>
  <si>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</si>
  <si>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</si>
  <si>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</si>
  <si>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</si>
  <si>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</si>
  <si>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</si>
  <si>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</si>
  <si>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</si>
  <si>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</si>
  <si>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</si>
  <si>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</si>
  <si>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</si>
  <si>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</si>
  <si>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</si>
  <si>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</si>
  <si>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</si>
  <si>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</si>
  <si>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</si>
  <si>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</si>
  <si>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</si>
  <si>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</si>
  <si>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</si>
  <si>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</si>
  <si>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</si>
  <si>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</si>
  <si>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</si>
  <si>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</si>
  <si>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</si>
  <si>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</si>
  <si>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</si>
  <si>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</si>
  <si>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</si>
  <si>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</si>
  <si>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</si>
  <si>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</si>
  <si>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</si>
  <si>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</si>
  <si>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</si>
  <si>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</si>
  <si>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</si>
  <si>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</si>
  <si>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</si>
  <si>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</si>
  <si>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</si>
  <si>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</si>
  <si>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</si>
  <si>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</si>
  <si>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</si>
  <si>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</si>
  <si>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</si>
  <si>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</si>
  <si>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</si>
  <si>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</si>
  <si>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</si>
  <si>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</si>
  <si>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</si>
  <si>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</si>
  <si>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</si>
  <si>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</si>
  <si>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</si>
  <si>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</si>
  <si>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</si>
  <si>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</si>
  <si>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</si>
  <si>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</si>
  <si>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</si>
  <si>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</si>
  <si>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</si>
  <si>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</si>
  <si>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</si>
  <si>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</si>
  <si>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</si>
  <si>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</si>
  <si>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</si>
  <si>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</si>
  <si>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</si>
  <si>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</si>
  <si>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</si>
  <si>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</si>
  <si>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</si>
  <si>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</si>
  <si>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</si>
  <si>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</si>
  <si>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</si>
  <si>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</si>
  <si>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</si>
  <si>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</si>
  <si>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</si>
  <si>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</si>
  <si>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</si>
  <si>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</si>
  <si>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</si>
  <si>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</si>
  <si>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</si>
  <si>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</si>
  <si>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</si>
  <si>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</si>
  <si>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</si>
  <si>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</si>
  <si>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</si>
  <si>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</si>
  <si>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</si>
  <si>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</si>
  <si>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</si>
  <si>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</si>
  <si>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</si>
  <si>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</si>
  <si>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</si>
  <si>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</si>
  <si>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</si>
  <si>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</si>
  <si>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</si>
  <si>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</si>
  <si>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</si>
  <si>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</si>
  <si>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</si>
  <si>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</si>
  <si>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</si>
  <si>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</si>
  <si>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</si>
  <si>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</si>
  <si>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</si>
  <si>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</si>
  <si>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</si>
  <si>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</si>
  <si>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</si>
  <si>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</si>
  <si>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</si>
  <si>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</si>
  <si>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</si>
  <si>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</si>
  <si>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</si>
  <si>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</si>
  <si>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</si>
  <si>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</si>
  <si>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</si>
  <si>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</si>
  <si>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</si>
  <si>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</si>
  <si>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</si>
  <si>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</si>
  <si>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</si>
  <si>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</si>
  <si>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</si>
  <si>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</si>
  <si>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</si>
  <si>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</si>
  <si>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</si>
  <si>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</si>
  <si>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</si>
  <si>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</si>
  <si>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</si>
  <si>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</si>
  <si>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</si>
  <si>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</si>
  <si>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</si>
  <si>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</si>
  <si>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</si>
  <si>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</si>
  <si>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</si>
  <si>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</si>
  <si>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</si>
  <si>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</si>
  <si>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</si>
  <si>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</si>
  <si>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</si>
  <si>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</si>
  <si>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</si>
  <si>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</si>
  <si>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</si>
  <si>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</si>
  <si>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</si>
  <si>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</si>
  <si>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</si>
  <si>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</si>
  <si>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</si>
  <si>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</si>
  <si>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</si>
  <si>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</si>
  <si>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</si>
  <si>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</si>
  <si>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</si>
  <si>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</si>
  <si>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</si>
  <si>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</si>
  <si>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</si>
  <si>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</si>
  <si>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</si>
  <si>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</si>
  <si>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</si>
  <si>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</si>
  <si>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</si>
  <si>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</si>
  <si>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</si>
  <si>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</si>
  <si>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</si>
  <si>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</si>
  <si>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</si>
  <si>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</si>
  <si>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</si>
  <si>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</si>
  <si>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</si>
  <si>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</si>
  <si>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</si>
  <si>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</si>
  <si>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</si>
  <si>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</si>
  <si>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</si>
  <si>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</si>
  <si>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</si>
  <si>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</si>
  <si>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</si>
  <si>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</si>
  <si>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</si>
  <si>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</si>
  <si>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</si>
  <si>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</si>
  <si>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</si>
  <si>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</si>
  <si>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</si>
  <si>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</si>
  <si>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</si>
  <si>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</si>
  <si>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</si>
  <si>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</si>
  <si>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</si>
  <si>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</si>
  <si>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</si>
  <si>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</si>
  <si>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</si>
  <si>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</si>
  <si>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</si>
  <si>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</si>
  <si>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</si>
  <si>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</si>
  <si>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</si>
  <si>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</si>
  <si>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</si>
  <si>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</si>
  <si>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</si>
  <si>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</si>
  <si>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</si>
  <si>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</si>
  <si>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</si>
  <si>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</si>
  <si>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</si>
  <si>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</si>
  <si>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</si>
  <si>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</si>
  <si>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</si>
  <si>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</si>
  <si>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</si>
  <si>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</si>
  <si>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</si>
  <si>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</si>
  <si>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</si>
  <si>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</si>
  <si>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</si>
  <si>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</si>
  <si>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</si>
  <si>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</si>
  <si>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</si>
  <si>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</si>
  <si>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</si>
  <si>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</si>
  <si>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</si>
  <si>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</si>
  <si>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</si>
  <si>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</si>
  <si>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</si>
  <si>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</si>
  <si>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</si>
  <si>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</si>
  <si>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</si>
  <si>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</si>
  <si>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</si>
  <si>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</si>
  <si>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</si>
  <si>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</si>
  <si>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</si>
  <si>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</si>
  <si>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</si>
  <si>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</si>
  <si>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</si>
  <si>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</si>
  <si>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</si>
  <si>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</si>
  <si>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</si>
  <si>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</si>
  <si>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</si>
  <si>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</si>
  <si>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</si>
  <si>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</si>
  <si>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</si>
  <si>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</si>
  <si>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</si>
  <si>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</si>
  <si>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</si>
  <si>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</si>
  <si>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</si>
  <si>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</si>
  <si>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</si>
  <si>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</si>
  <si>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</si>
  <si>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</si>
  <si>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</si>
  <si>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</si>
  <si>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</si>
  <si>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</si>
  <si>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</si>
  <si>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</si>
  <si>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</si>
  <si>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</si>
  <si>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</si>
  <si>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</si>
  <si>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</si>
  <si>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</si>
  <si>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</si>
  <si>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</si>
  <si>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</si>
  <si>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</si>
  <si>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</si>
  <si>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</si>
  <si>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</si>
  <si>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</si>
  <si>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</si>
  <si>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</si>
  <si>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</si>
  <si>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</si>
  <si>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</si>
  <si>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</si>
  <si>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</si>
  <si>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</si>
  <si>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</si>
  <si>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</si>
  <si>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</si>
  <si>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</si>
  <si>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</si>
  <si>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</si>
  <si>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</si>
  <si>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</si>
  <si>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</si>
  <si>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</si>
  <si>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</si>
  <si>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</si>
  <si>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</si>
  <si>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</si>
  <si>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</si>
  <si>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</si>
  <si>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</si>
  <si>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</si>
  <si>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</si>
  <si>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</si>
  <si>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</si>
  <si>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</si>
  <si>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</si>
  <si>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</si>
  <si>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</si>
  <si>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</si>
  <si>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</si>
  <si>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</si>
  <si>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</si>
  <si>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</si>
  <si>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</si>
  <si>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</si>
  <si>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</si>
  <si>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</si>
  <si>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</si>
  <si>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</si>
  <si>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</si>
  <si>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</si>
  <si>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</si>
  <si>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</si>
  <si>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</si>
  <si>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</si>
  <si>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</si>
  <si>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</si>
  <si>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</si>
  <si>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</si>
  <si>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</si>
  <si>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</si>
  <si>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</si>
  <si>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</si>
  <si>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</si>
  <si>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</si>
  <si>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</si>
  <si>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</si>
  <si>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</si>
  <si>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</si>
  <si>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</si>
  <si>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</si>
  <si>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</si>
  <si>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</si>
  <si>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</si>
  <si>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</si>
  <si>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</si>
  <si>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</si>
  <si>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</si>
  <si>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</si>
  <si>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</si>
  <si>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</si>
  <si>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</si>
  <si>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</si>
  <si>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</si>
  <si>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</si>
  <si>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</si>
  <si>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</si>
  <si>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</si>
  <si>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</si>
  <si>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</si>
  <si>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</si>
  <si>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</si>
  <si>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</si>
  <si>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</si>
  <si>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</si>
  <si>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</si>
  <si>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</si>
  <si>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</si>
  <si>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</si>
  <si>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</si>
  <si>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</si>
  <si>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</si>
  <si>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</si>
  <si>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</si>
  <si>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</si>
  <si>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</si>
  <si>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</si>
  <si>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</si>
  <si>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</si>
  <si>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</si>
  <si>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</si>
  <si>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</si>
  <si>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</si>
  <si>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</si>
  <si>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</si>
  <si>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</si>
  <si>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</si>
  <si>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</si>
  <si>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</si>
  <si>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</si>
  <si>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</si>
  <si>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</si>
  <si>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</si>
  <si>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</si>
  <si>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</si>
  <si>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</si>
  <si>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</si>
  <si>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</si>
  <si>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</si>
  <si>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</si>
  <si>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</si>
  <si>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</si>
  <si>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</si>
  <si>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</si>
  <si>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</si>
  <si>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</si>
  <si>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</si>
  <si>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</si>
  <si>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</si>
  <si>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</si>
  <si>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</si>
  <si>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</si>
  <si>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</si>
  <si>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</si>
  <si>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</si>
  <si>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</si>
  <si>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</si>
  <si>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</si>
  <si>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</si>
  <si>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</si>
  <si>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</si>
  <si>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</si>
  <si>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</si>
  <si>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</si>
  <si>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</si>
  <si>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</si>
  <si>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</si>
  <si>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</si>
  <si>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</si>
  <si>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</si>
  <si>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</si>
  <si>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</si>
  <si>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</si>
  <si>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</si>
  <si>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</si>
  <si>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</si>
  <si>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</si>
  <si>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</si>
  <si>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</si>
  <si>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</si>
  <si>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</si>
  <si>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</si>
  <si>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</si>
  <si>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</si>
  <si>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</si>
  <si>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</si>
  <si>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</si>
  <si>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</si>
  <si>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</si>
  <si>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</si>
  <si>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</si>
  <si>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</si>
  <si>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</si>
  <si>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</si>
  <si>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</si>
  <si>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</si>
  <si>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</si>
  <si>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</si>
  <si>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</si>
  <si>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</si>
  <si>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</si>
  <si>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</si>
  <si>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</si>
  <si>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</si>
  <si>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</si>
  <si>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</si>
  <si>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</si>
  <si>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</si>
  <si>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</si>
  <si>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</si>
  <si>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</si>
  <si>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</si>
  <si>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</si>
  <si>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</si>
  <si>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</si>
  <si>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</si>
  <si>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</si>
  <si>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</si>
  <si>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</si>
  <si>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</si>
  <si>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</si>
  <si>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</si>
  <si>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</si>
  <si>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</si>
  <si>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</si>
  <si>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</si>
  <si>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</si>
  <si>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</si>
  <si>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</si>
  <si>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</si>
  <si>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</si>
  <si>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</si>
  <si>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</si>
  <si>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</si>
  <si>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</si>
  <si>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</si>
  <si>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</si>
  <si>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</si>
  <si>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</si>
  <si>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</si>
  <si>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</si>
  <si>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</si>
  <si>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</si>
  <si>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</si>
  <si>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</si>
  <si>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</si>
  <si>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</si>
  <si>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</si>
  <si>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</si>
  <si>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</si>
  <si>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</si>
  <si>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</si>
  <si>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</si>
  <si>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</si>
  <si>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</si>
  <si>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</si>
  <si>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</si>
  <si>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</si>
  <si>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</si>
  <si>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</si>
  <si>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</si>
  <si>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</si>
  <si>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</si>
  <si>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</si>
  <si>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</si>
  <si>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</si>
  <si>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</si>
  <si>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</si>
  <si>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</si>
  <si>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</si>
  <si>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</si>
  <si>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</si>
  <si>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</si>
  <si>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</si>
  <si>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</si>
  <si>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</si>
  <si>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</si>
  <si>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</si>
  <si>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</si>
  <si>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</si>
  <si>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</si>
  <si>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</si>
  <si>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</si>
  <si>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</si>
  <si>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</si>
  <si>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</si>
  <si>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</si>
  <si>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</si>
  <si>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</si>
  <si>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</si>
  <si>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</si>
  <si>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</si>
  <si>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</si>
  <si>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</si>
  <si>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</si>
  <si>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</si>
  <si>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</si>
  <si>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</si>
  <si>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42011</t>
  </si>
  <si>
    <t>LEBBEKE</t>
  </si>
  <si>
    <t>Paarden&amp;pony's 200 - 600 kg</t>
  </si>
  <si>
    <t>Paarden&amp;pony's &lt; 200 kg</t>
  </si>
  <si>
    <t>vloeibaar gas (MWh)</t>
  </si>
  <si>
    <t>interne verbrandingsmotor</t>
  </si>
  <si>
    <t>WKK interne verbrandinsgmotor (vloeibaar)</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</si>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</sst>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97C6E24-4A92-422C-90C6-544880FB7CC1}"/>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42011</v>
      </c>
      <c r="B6" s="382"/>
      <c r="C6" s="383"/>
    </row>
    <row r="7" spans="1:7" s="380" customFormat="1" ht="15.75" customHeight="1">
      <c r="A7" s="384" t="str">
        <f>txtMunicipality</f>
        <v>LEBBEKE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0.21368722742876858</v>
      </c>
      <c r="C17" s="494">
        <f ca="1">'EF ele_warmte'!B22</f>
        <v>7.8529411764705889E-2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0.21368722742876858</v>
      </c>
      <c r="C29" s="495">
        <f ca="1">'EF ele_warmte'!B22</f>
        <v>7.8529411764705889E-2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7632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1281</v>
      </c>
      <c r="C14" s="324"/>
      <c r="D14" s="324"/>
      <c r="E14" s="324"/>
      <c r="F14" s="324"/>
    </row>
    <row r="15" spans="1:6">
      <c r="A15" s="1235" t="s">
        <v>177</v>
      </c>
      <c r="B15" s="1236">
        <v>12</v>
      </c>
      <c r="C15" s="324"/>
      <c r="D15" s="324"/>
      <c r="E15" s="324"/>
      <c r="F15" s="324"/>
    </row>
    <row r="16" spans="1:6">
      <c r="A16" s="1235" t="s">
        <v>6</v>
      </c>
      <c r="B16" s="1236">
        <v>339</v>
      </c>
      <c r="C16" s="324"/>
      <c r="D16" s="324"/>
      <c r="E16" s="324"/>
      <c r="F16" s="324"/>
    </row>
    <row r="17" spans="1:6">
      <c r="A17" s="1235" t="s">
        <v>7</v>
      </c>
      <c r="B17" s="1236">
        <v>424</v>
      </c>
      <c r="C17" s="324"/>
      <c r="D17" s="324"/>
      <c r="E17" s="324"/>
      <c r="F17" s="324"/>
    </row>
    <row r="18" spans="1:6">
      <c r="A18" s="1235" t="s">
        <v>8</v>
      </c>
      <c r="B18" s="1236">
        <v>457</v>
      </c>
      <c r="C18" s="324"/>
      <c r="D18" s="324"/>
      <c r="E18" s="324"/>
      <c r="F18" s="324"/>
    </row>
    <row r="19" spans="1:6">
      <c r="A19" s="1235" t="s">
        <v>9</v>
      </c>
      <c r="B19" s="1236">
        <v>433</v>
      </c>
      <c r="C19" s="324"/>
      <c r="D19" s="324"/>
      <c r="E19" s="324"/>
      <c r="F19" s="324"/>
    </row>
    <row r="20" spans="1:6">
      <c r="A20" s="1235" t="s">
        <v>10</v>
      </c>
      <c r="B20" s="1236">
        <v>405</v>
      </c>
      <c r="C20" s="324"/>
      <c r="D20" s="324"/>
      <c r="E20" s="324"/>
      <c r="F20" s="324"/>
    </row>
    <row r="21" spans="1:6">
      <c r="A21" s="1235" t="s">
        <v>11</v>
      </c>
      <c r="B21" s="1236">
        <v>771</v>
      </c>
      <c r="C21" s="324"/>
      <c r="D21" s="324"/>
      <c r="E21" s="324"/>
      <c r="F21" s="324"/>
    </row>
    <row r="22" spans="1:6">
      <c r="A22" s="1235" t="s">
        <v>12</v>
      </c>
      <c r="B22" s="1236">
        <v>1556</v>
      </c>
      <c r="C22" s="324"/>
      <c r="D22" s="324"/>
      <c r="E22" s="324"/>
      <c r="F22" s="324"/>
    </row>
    <row r="23" spans="1:6">
      <c r="A23" s="1235" t="s">
        <v>13</v>
      </c>
      <c r="B23" s="1236">
        <v>42</v>
      </c>
      <c r="C23" s="324"/>
      <c r="D23" s="324"/>
      <c r="E23" s="324"/>
      <c r="F23" s="324"/>
    </row>
    <row r="24" spans="1:6">
      <c r="A24" s="1235" t="s">
        <v>14</v>
      </c>
      <c r="B24" s="1236">
        <v>3</v>
      </c>
      <c r="C24" s="324"/>
      <c r="D24" s="324"/>
      <c r="E24" s="324"/>
      <c r="F24" s="324"/>
    </row>
    <row r="25" spans="1:6">
      <c r="A25" s="1235" t="s">
        <v>15</v>
      </c>
      <c r="B25" s="1236">
        <v>279</v>
      </c>
      <c r="C25" s="324"/>
      <c r="D25" s="324"/>
      <c r="E25" s="324"/>
      <c r="F25" s="324"/>
    </row>
    <row r="26" spans="1:6">
      <c r="A26" s="1235" t="s">
        <v>16</v>
      </c>
      <c r="B26" s="1236">
        <v>21</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63</v>
      </c>
      <c r="C29" s="324"/>
      <c r="D29" s="324"/>
      <c r="E29" s="324"/>
      <c r="F29" s="324"/>
    </row>
    <row r="30" spans="1:6">
      <c r="A30" s="1230" t="s">
        <v>960</v>
      </c>
      <c r="B30" s="1238">
        <v>10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153764.88009680601</v>
      </c>
      <c r="E38" s="1236">
        <v>1</v>
      </c>
      <c r="F38" s="1236">
        <v>415.3810823252</v>
      </c>
    </row>
    <row r="39" spans="1:6">
      <c r="A39" s="1235" t="s">
        <v>29</v>
      </c>
      <c r="B39" s="1235" t="s">
        <v>30</v>
      </c>
      <c r="C39" s="1236">
        <v>4400</v>
      </c>
      <c r="D39" s="1236">
        <v>72225143.5669934</v>
      </c>
      <c r="E39" s="1236">
        <v>7495</v>
      </c>
      <c r="F39" s="1236">
        <v>32192340.2462686</v>
      </c>
    </row>
    <row r="40" spans="1:6">
      <c r="A40" s="1235" t="s">
        <v>29</v>
      </c>
      <c r="B40" s="1235" t="s">
        <v>28</v>
      </c>
      <c r="C40" s="1236">
        <v>0</v>
      </c>
      <c r="D40" s="1236">
        <v>0</v>
      </c>
      <c r="E40" s="1236">
        <v>0</v>
      </c>
      <c r="F40" s="1236">
        <v>0</v>
      </c>
    </row>
    <row r="41" spans="1:6">
      <c r="A41" s="1235" t="s">
        <v>31</v>
      </c>
      <c r="B41" s="1235" t="s">
        <v>32</v>
      </c>
      <c r="C41" s="1236">
        <v>46</v>
      </c>
      <c r="D41" s="1236">
        <v>1279524.5876614</v>
      </c>
      <c r="E41" s="1236">
        <v>148</v>
      </c>
      <c r="F41" s="1236">
        <v>1316068.4777739099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4</v>
      </c>
      <c r="D47" s="1236">
        <v>139280.06602959099</v>
      </c>
      <c r="E47" s="1236">
        <v>8</v>
      </c>
      <c r="F47" s="1236">
        <v>154301.29174158999</v>
      </c>
    </row>
    <row r="48" spans="1:6">
      <c r="A48" s="1235" t="s">
        <v>31</v>
      </c>
      <c r="B48" s="1235" t="s">
        <v>28</v>
      </c>
      <c r="C48" s="1236">
        <v>21</v>
      </c>
      <c r="D48" s="1236">
        <v>3434044.7389437002</v>
      </c>
      <c r="E48" s="1236">
        <v>18</v>
      </c>
      <c r="F48" s="1236">
        <v>2535297.9330472699</v>
      </c>
    </row>
    <row r="49" spans="1:6">
      <c r="A49" s="1235" t="s">
        <v>31</v>
      </c>
      <c r="B49" s="1235" t="s">
        <v>39</v>
      </c>
      <c r="C49" s="1236">
        <v>0</v>
      </c>
      <c r="D49" s="1236">
        <v>0</v>
      </c>
      <c r="E49" s="1236">
        <v>0</v>
      </c>
      <c r="F49" s="1236">
        <v>0</v>
      </c>
    </row>
    <row r="50" spans="1:6">
      <c r="A50" s="1235" t="s">
        <v>31</v>
      </c>
      <c r="B50" s="1235" t="s">
        <v>40</v>
      </c>
      <c r="C50" s="1236">
        <v>11</v>
      </c>
      <c r="D50" s="1236">
        <v>31636795.136224899</v>
      </c>
      <c r="E50" s="1236">
        <v>19</v>
      </c>
      <c r="F50" s="1236">
        <v>72769021.476621896</v>
      </c>
    </row>
    <row r="51" spans="1:6">
      <c r="A51" s="1235" t="s">
        <v>41</v>
      </c>
      <c r="B51" s="1235" t="s">
        <v>42</v>
      </c>
      <c r="C51" s="1236">
        <v>16</v>
      </c>
      <c r="D51" s="1236">
        <v>582144.179869132</v>
      </c>
      <c r="E51" s="1236">
        <v>93</v>
      </c>
      <c r="F51" s="1236">
        <v>1312576.6743205499</v>
      </c>
    </row>
    <row r="52" spans="1:6">
      <c r="A52" s="1235" t="s">
        <v>41</v>
      </c>
      <c r="B52" s="1235" t="s">
        <v>28</v>
      </c>
      <c r="C52" s="1236">
        <v>1</v>
      </c>
      <c r="D52" s="1236">
        <v>19318.947259505399</v>
      </c>
      <c r="E52" s="1236">
        <v>12</v>
      </c>
      <c r="F52" s="1236">
        <v>291987.90487503097</v>
      </c>
    </row>
    <row r="53" spans="1:6">
      <c r="A53" s="1235" t="s">
        <v>43</v>
      </c>
      <c r="B53" s="1235" t="s">
        <v>44</v>
      </c>
      <c r="C53" s="1236">
        <v>161</v>
      </c>
      <c r="D53" s="1236">
        <v>3200338.2972671501</v>
      </c>
      <c r="E53" s="1236">
        <v>343</v>
      </c>
      <c r="F53" s="1236">
        <v>1726301.3740266401</v>
      </c>
    </row>
    <row r="54" spans="1:6">
      <c r="A54" s="1235" t="s">
        <v>45</v>
      </c>
      <c r="B54" s="1235" t="s">
        <v>46</v>
      </c>
      <c r="C54" s="1236">
        <v>0</v>
      </c>
      <c r="D54" s="1236">
        <v>0</v>
      </c>
      <c r="E54" s="1236">
        <v>1</v>
      </c>
      <c r="F54" s="1236">
        <v>1081672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31</v>
      </c>
      <c r="D57" s="1236">
        <v>1024816.9404626</v>
      </c>
      <c r="E57" s="1236">
        <v>60</v>
      </c>
      <c r="F57" s="1236">
        <v>938419.79854409106</v>
      </c>
    </row>
    <row r="58" spans="1:6">
      <c r="A58" s="1235" t="s">
        <v>48</v>
      </c>
      <c r="B58" s="1235" t="s">
        <v>50</v>
      </c>
      <c r="C58" s="1236">
        <v>10</v>
      </c>
      <c r="D58" s="1236">
        <v>391223.89766312798</v>
      </c>
      <c r="E58" s="1236">
        <v>34</v>
      </c>
      <c r="F58" s="1236">
        <v>655100.15676173905</v>
      </c>
    </row>
    <row r="59" spans="1:6">
      <c r="A59" s="1235" t="s">
        <v>48</v>
      </c>
      <c r="B59" s="1235" t="s">
        <v>51</v>
      </c>
      <c r="C59" s="1236">
        <v>58</v>
      </c>
      <c r="D59" s="1236">
        <v>2419889.0566897402</v>
      </c>
      <c r="E59" s="1236">
        <v>186</v>
      </c>
      <c r="F59" s="1236">
        <v>5299675.4585748697</v>
      </c>
    </row>
    <row r="60" spans="1:6">
      <c r="A60" s="1235" t="s">
        <v>48</v>
      </c>
      <c r="B60" s="1235" t="s">
        <v>52</v>
      </c>
      <c r="C60" s="1236">
        <v>54</v>
      </c>
      <c r="D60" s="1236">
        <v>2213970.91799556</v>
      </c>
      <c r="E60" s="1236">
        <v>65</v>
      </c>
      <c r="F60" s="1236">
        <v>1383641.6964670999</v>
      </c>
    </row>
    <row r="61" spans="1:6">
      <c r="A61" s="1235" t="s">
        <v>48</v>
      </c>
      <c r="B61" s="1235" t="s">
        <v>53</v>
      </c>
      <c r="C61" s="1236">
        <v>85</v>
      </c>
      <c r="D61" s="1236">
        <v>4379496.9401331702</v>
      </c>
      <c r="E61" s="1236">
        <v>227</v>
      </c>
      <c r="F61" s="1236">
        <v>2913457.26497088</v>
      </c>
    </row>
    <row r="62" spans="1:6">
      <c r="A62" s="1235" t="s">
        <v>48</v>
      </c>
      <c r="B62" s="1235" t="s">
        <v>54</v>
      </c>
      <c r="C62" s="1236">
        <v>7</v>
      </c>
      <c r="D62" s="1236">
        <v>615310.85829509306</v>
      </c>
      <c r="E62" s="1236">
        <v>10</v>
      </c>
      <c r="F62" s="1236">
        <v>131118.093916543</v>
      </c>
    </row>
    <row r="63" spans="1:6">
      <c r="A63" s="1235" t="s">
        <v>48</v>
      </c>
      <c r="B63" s="1235" t="s">
        <v>28</v>
      </c>
      <c r="C63" s="1236">
        <v>82</v>
      </c>
      <c r="D63" s="1236">
        <v>5634150.9799039904</v>
      </c>
      <c r="E63" s="1236">
        <v>103</v>
      </c>
      <c r="F63" s="1236">
        <v>1409097.0619952099</v>
      </c>
    </row>
    <row r="64" spans="1:6">
      <c r="A64" s="1235" t="s">
        <v>55</v>
      </c>
      <c r="B64" s="1235" t="s">
        <v>56</v>
      </c>
      <c r="C64" s="1236">
        <v>0</v>
      </c>
      <c r="D64" s="1236">
        <v>0</v>
      </c>
      <c r="E64" s="1236">
        <v>0</v>
      </c>
      <c r="F64" s="1236">
        <v>0</v>
      </c>
    </row>
    <row r="65" spans="1:6">
      <c r="A65" s="1235" t="s">
        <v>55</v>
      </c>
      <c r="B65" s="1235" t="s">
        <v>28</v>
      </c>
      <c r="C65" s="1236">
        <v>2</v>
      </c>
      <c r="D65" s="1236">
        <v>58579.162504286003</v>
      </c>
      <c r="E65" s="1236">
        <v>2</v>
      </c>
      <c r="F65" s="1236">
        <v>12734.571511800301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6</v>
      </c>
      <c r="D68" s="1238">
        <v>136224.61272165299</v>
      </c>
      <c r="E68" s="1238">
        <v>13</v>
      </c>
      <c r="F68" s="1238">
        <v>138091.823791148</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35740548</v>
      </c>
      <c r="E73" s="443"/>
      <c r="F73" s="324"/>
    </row>
    <row r="74" spans="1:6">
      <c r="A74" s="1235" t="s">
        <v>63</v>
      </c>
      <c r="B74" s="1235" t="s">
        <v>730</v>
      </c>
      <c r="C74" s="1248" t="s">
        <v>731</v>
      </c>
      <c r="D74" s="1236">
        <v>2863271.3844464798</v>
      </c>
      <c r="E74" s="443"/>
      <c r="F74" s="324"/>
    </row>
    <row r="75" spans="1:6">
      <c r="A75" s="1235" t="s">
        <v>64</v>
      </c>
      <c r="B75" s="1235" t="s">
        <v>728</v>
      </c>
      <c r="C75" s="1248" t="s">
        <v>732</v>
      </c>
      <c r="D75" s="1236">
        <v>62711837</v>
      </c>
      <c r="E75" s="443"/>
      <c r="F75" s="324"/>
    </row>
    <row r="76" spans="1:6">
      <c r="A76" s="1235" t="s">
        <v>64</v>
      </c>
      <c r="B76" s="1235" t="s">
        <v>730</v>
      </c>
      <c r="C76" s="1248" t="s">
        <v>733</v>
      </c>
      <c r="D76" s="1236">
        <v>3738114.3844464798</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233399.23110704069</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1647.5430591821923</v>
      </c>
      <c r="C91" s="324"/>
      <c r="D91" s="324"/>
      <c r="E91" s="324"/>
      <c r="F91" s="324"/>
    </row>
    <row r="92" spans="1:6">
      <c r="A92" s="1230" t="s">
        <v>68</v>
      </c>
      <c r="B92" s="1231">
        <v>259.26628736658256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2589</v>
      </c>
      <c r="C97" s="324"/>
      <c r="D97" s="324"/>
      <c r="E97" s="324"/>
      <c r="F97" s="324"/>
    </row>
    <row r="98" spans="1:6">
      <c r="A98" s="1235" t="s">
        <v>71</v>
      </c>
      <c r="B98" s="1236">
        <v>0</v>
      </c>
      <c r="C98" s="324"/>
      <c r="D98" s="324"/>
      <c r="E98" s="324"/>
      <c r="F98" s="324"/>
    </row>
    <row r="99" spans="1:6">
      <c r="A99" s="1235" t="s">
        <v>72</v>
      </c>
      <c r="B99" s="1236">
        <v>69</v>
      </c>
      <c r="C99" s="324"/>
      <c r="D99" s="324"/>
      <c r="E99" s="324"/>
      <c r="F99" s="324"/>
    </row>
    <row r="100" spans="1:6">
      <c r="A100" s="1235" t="s">
        <v>73</v>
      </c>
      <c r="B100" s="1236">
        <v>547</v>
      </c>
      <c r="C100" s="324"/>
      <c r="D100" s="324"/>
      <c r="E100" s="324"/>
      <c r="F100" s="324"/>
    </row>
    <row r="101" spans="1:6">
      <c r="A101" s="1235" t="s">
        <v>74</v>
      </c>
      <c r="B101" s="1236">
        <v>86</v>
      </c>
      <c r="C101" s="324"/>
      <c r="D101" s="324"/>
      <c r="E101" s="324"/>
      <c r="F101" s="324"/>
    </row>
    <row r="102" spans="1:6">
      <c r="A102" s="1235" t="s">
        <v>75</v>
      </c>
      <c r="B102" s="1236">
        <v>115</v>
      </c>
      <c r="C102" s="324"/>
      <c r="D102" s="324"/>
      <c r="E102" s="324"/>
      <c r="F102" s="324"/>
    </row>
    <row r="103" spans="1:6">
      <c r="A103" s="1235" t="s">
        <v>76</v>
      </c>
      <c r="B103" s="1236">
        <v>283</v>
      </c>
      <c r="C103" s="324"/>
      <c r="D103" s="324"/>
      <c r="E103" s="324"/>
      <c r="F103" s="324"/>
    </row>
    <row r="104" spans="1:6">
      <c r="A104" s="1235" t="s">
        <v>77</v>
      </c>
      <c r="B104" s="1236">
        <v>3142</v>
      </c>
      <c r="C104" s="324"/>
      <c r="D104" s="324"/>
      <c r="E104" s="324"/>
      <c r="F104" s="324"/>
    </row>
    <row r="105" spans="1:6">
      <c r="A105" s="1230" t="s">
        <v>78</v>
      </c>
      <c r="B105" s="123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9</v>
      </c>
      <c r="C123" s="1236">
        <v>7</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34</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5</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127762.62000952827</v>
      </c>
      <c r="C3" s="43" t="s">
        <v>163</v>
      </c>
      <c r="D3" s="43"/>
      <c r="E3" s="155"/>
      <c r="F3" s="43"/>
      <c r="G3" s="43"/>
      <c r="H3" s="43"/>
      <c r="I3" s="43"/>
      <c r="J3" s="43"/>
      <c r="K3" s="96"/>
    </row>
    <row r="4" spans="1:11">
      <c r="A4" s="350" t="s">
        <v>164</v>
      </c>
      <c r="B4" s="49">
        <f>IF(ISERROR('SEAP template'!B78+'SEAP template'!C78),0,'SEAP template'!B78+'SEAP template'!C78)</f>
        <v>5506.8093465487746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282.70588235294116</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0.21368722742876858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318.04411764705884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4050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7.8529411764705889E-2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1081.672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1081.672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0.21368722742876858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231.13949066733099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32192.340246268599</v>
      </c>
      <c r="C5" s="17">
        <f>IF(ISERROR('Eigen informatie GS &amp; warmtenet'!B57),0,'Eigen informatie GS &amp; warmtenet'!B57)</f>
        <v>0</v>
      </c>
      <c r="D5" s="30">
        <f>(SUM(HH_hh_gas_kWh,HH_rest_gas_kWh)/1000)*0.902</f>
        <v>65147.079497428051</v>
      </c>
      <c r="E5" s="17">
        <f>B32*B41</f>
        <v>1659.4648905308256</v>
      </c>
      <c r="F5" s="17">
        <f>B36*B45</f>
        <v>56644.831126529709</v>
      </c>
      <c r="G5" s="18"/>
      <c r="H5" s="17"/>
      <c r="I5" s="17"/>
      <c r="J5" s="17">
        <f>B35*B44+C35*C44</f>
        <v>1275.4979860551116</v>
      </c>
      <c r="K5" s="17"/>
      <c r="L5" s="17"/>
      <c r="M5" s="17"/>
      <c r="N5" s="17">
        <f>B34*B43+C34*C43</f>
        <v>9299.7122646572388</v>
      </c>
      <c r="O5" s="17">
        <f>B52*B53*B54</f>
        <v>64.096666666666678</v>
      </c>
      <c r="P5" s="17">
        <f>B60*B61*B62/1000-B60*B61*B62/1000/B63</f>
        <v>266.93333333333334</v>
      </c>
    </row>
    <row r="6" spans="1:16">
      <c r="A6" s="16" t="s">
        <v>591</v>
      </c>
      <c r="B6" s="727">
        <f>kWh_PV_kleiner_dan_10kW</f>
        <v>1647.5430591821923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33839.883305450792</v>
      </c>
      <c r="C8" s="21">
        <f>C5</f>
        <v>0</v>
      </c>
      <c r="D8" s="21">
        <f>D5</f>
        <v>65147.079497428051</v>
      </c>
      <c r="E8" s="21">
        <f>E5</f>
        <v>1659.4648905308256</v>
      </c>
      <c r="F8" s="21">
        <f>F5</f>
        <v>56644.831126529709</v>
      </c>
      <c r="G8" s="21"/>
      <c r="H8" s="21"/>
      <c r="I8" s="21"/>
      <c r="J8" s="21">
        <f>J5</f>
        <v>1275.4979860551116</v>
      </c>
      <c r="K8" s="21"/>
      <c r="L8" s="21">
        <f>L5</f>
        <v>0</v>
      </c>
      <c r="M8" s="21">
        <f>M5</f>
        <v>0</v>
      </c>
      <c r="N8" s="21">
        <f>N5</f>
        <v>9299.7122646572388</v>
      </c>
      <c r="O8" s="21">
        <f>O5</f>
        <v>64.096666666666678</v>
      </c>
      <c r="P8" s="21">
        <f>P5</f>
        <v>266.93333333333334</v>
      </c>
    </row>
    <row r="9" spans="1:16">
      <c r="B9" s="19"/>
      <c r="C9" s="19"/>
      <c r="D9" s="255"/>
      <c r="E9" s="19"/>
      <c r="F9" s="19"/>
      <c r="G9" s="19"/>
      <c r="H9" s="19"/>
      <c r="I9" s="19"/>
      <c r="J9" s="19"/>
      <c r="K9" s="19"/>
      <c r="L9" s="19"/>
      <c r="M9" s="19"/>
      <c r="N9" s="19"/>
      <c r="O9" s="19"/>
      <c r="P9" s="19"/>
    </row>
    <row r="10" spans="1:16">
      <c r="A10" s="24" t="s">
        <v>207</v>
      </c>
      <c r="B10" s="25">
        <f ca="1">'EF ele_warmte'!B12</f>
        <v>0.21368722742876858</v>
      </c>
      <c r="C10" s="25">
        <f ca="1">'EF ele_warmte'!B22</f>
        <v>7.8529411764705889E-2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7231.1508400548528</v>
      </c>
      <c r="C12" s="23">
        <f ca="1">C10*C8</f>
        <v>0</v>
      </c>
      <c r="D12" s="23">
        <f>D8*D10</f>
        <v>13159.710058480467</v>
      </c>
      <c r="E12" s="23">
        <f>E10*E8</f>
        <v>376.69853015049745</v>
      </c>
      <c r="F12" s="23">
        <f>F10*F8</f>
        <v>15124.169910783434</v>
      </c>
      <c r="G12" s="23"/>
      <c r="H12" s="23"/>
      <c r="I12" s="23"/>
      <c r="J12" s="23">
        <f>J10*J8</f>
        <v>451.52628706350947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7632</v>
      </c>
      <c r="C26" s="36"/>
      <c r="D26" s="225"/>
    </row>
    <row r="27" spans="1:5" s="15" customFormat="1">
      <c r="A27" s="227" t="s">
        <v>671</v>
      </c>
      <c r="B27" s="37">
        <f>SUM(HH_hh_gas_aantal,HH_rest_gas_aantal)</f>
        <v>4400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4180</v>
      </c>
      <c r="C31" s="34" t="s">
        <v>104</v>
      </c>
      <c r="D31" s="171"/>
    </row>
    <row r="32" spans="1:5">
      <c r="A32" s="168" t="s">
        <v>72</v>
      </c>
      <c r="B32" s="33">
        <f>IF((B21*($B$26-($B$27-0.05*$B$27)-$B$60))&lt;0,0,B21*($B$26-($B$27-0.05*$B$27)-$B$60))</f>
        <v>24.373937023230816</v>
      </c>
      <c r="C32" s="34" t="s">
        <v>104</v>
      </c>
      <c r="D32" s="171"/>
    </row>
    <row r="33" spans="1:6">
      <c r="A33" s="168" t="s">
        <v>73</v>
      </c>
      <c r="B33" s="33">
        <f>IF((B22*($B$26-($B$27-0.05*$B$27)-$B$60))&lt;0,0,B22*($B$26-($B$27-0.05*$B$27)-$B$60))</f>
        <v>698.55371890388744</v>
      </c>
      <c r="C33" s="34" t="s">
        <v>104</v>
      </c>
      <c r="D33" s="171"/>
    </row>
    <row r="34" spans="1:6">
      <c r="A34" s="168" t="s">
        <v>74</v>
      </c>
      <c r="B34" s="33">
        <f>IF((B24*($B$26-($B$27-0.05*$B$27)-$B$60))&lt;0,0,B24*($B$26-($B$27-0.05*$B$27)-$B$60))</f>
        <v>139.29899408804786</v>
      </c>
      <c r="C34" s="33">
        <f>B26*C24</f>
        <v>1560.5731556193541</v>
      </c>
      <c r="D34" s="230"/>
    </row>
    <row r="35" spans="1:6">
      <c r="A35" s="168" t="s">
        <v>76</v>
      </c>
      <c r="B35" s="33">
        <f>IF((B19*($B$26-($B$27-0.05*$B$27)-$B$60))&lt;0,0,B19*($B$26-($B$27-0.05*$B$27)-$B$60))</f>
        <v>72.541479235806008</v>
      </c>
      <c r="C35" s="33">
        <f>B35/2</f>
        <v>36.270739617903004</v>
      </c>
      <c r="D35" s="230"/>
    </row>
    <row r="36" spans="1:6">
      <c r="A36" s="168" t="s">
        <v>77</v>
      </c>
      <c r="B36" s="33">
        <f>IF((B18*($B$26-($B$27-0.05*$B$27)-$B$60))&lt;0,0,B18*($B$26-($B$27-0.05*$B$27)-$B$60))</f>
        <v>2503.2318707490276</v>
      </c>
      <c r="C36" s="34" t="s">
        <v>104</v>
      </c>
      <c r="D36" s="171"/>
    </row>
    <row r="37" spans="1:6">
      <c r="A37" s="168" t="s">
        <v>78</v>
      </c>
      <c r="B37" s="33">
        <f>B60</f>
        <v>14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12730.509531230431</v>
      </c>
      <c r="C5" s="17">
        <f>IF(ISERROR('Eigen informatie GS &amp; warmtenet'!B58),0,'Eigen informatie GS &amp; warmtenet'!B58)</f>
        <v>0</v>
      </c>
      <c r="D5" s="30">
        <f>SUM(D6:D12)</f>
        <v>15044.331351211242</v>
      </c>
      <c r="E5" s="17">
        <f>SUM(E6:E12)</f>
        <v>239.72713606322023</v>
      </c>
      <c r="F5" s="17">
        <f>SUM(F6:F12)</f>
        <v>2307.3963986250519</v>
      </c>
      <c r="G5" s="18"/>
      <c r="H5" s="17"/>
      <c r="I5" s="17"/>
      <c r="J5" s="17">
        <f>SUM(J6:J12)</f>
        <v>0</v>
      </c>
      <c r="K5" s="17"/>
      <c r="L5" s="17"/>
      <c r="M5" s="17"/>
      <c r="N5" s="17">
        <f>SUM(N6:N12)</f>
        <v>289.46244062052301</v>
      </c>
      <c r="O5" s="17">
        <f>B38*B39*B40</f>
        <v>1.5633333333333335</v>
      </c>
      <c r="P5" s="17">
        <f>B46*B47*B48/1000-B46*B47*B48/1000/B49</f>
        <v>0</v>
      </c>
      <c r="R5" s="32"/>
    </row>
    <row r="6" spans="1:18">
      <c r="A6" s="32" t="s">
        <v>53</v>
      </c>
      <c r="B6" s="37">
        <f>B26</f>
        <v>2913.4572649708798</v>
      </c>
      <c r="C6" s="33"/>
      <c r="D6" s="37">
        <f>IF(ISERROR(TER_kantoor_gas_kWh/1000),0,TER_kantoor_gas_kWh/1000)*0.902</f>
        <v>3950.3062400001195</v>
      </c>
      <c r="E6" s="33">
        <f>$C$26*'E Balans VL '!I12/100/3.6*1000000</f>
        <v>100.78234560836167</v>
      </c>
      <c r="F6" s="33">
        <f>$C$26*('E Balans VL '!L12+'E Balans VL '!N12)/100/3.6*1000000</f>
        <v>444.7701879260369</v>
      </c>
      <c r="G6" s="34"/>
      <c r="H6" s="33"/>
      <c r="I6" s="33"/>
      <c r="J6" s="33">
        <f>$C$26*('E Balans VL '!D12+'E Balans VL '!E12)/100/3.6*1000000</f>
        <v>0</v>
      </c>
      <c r="K6" s="33"/>
      <c r="L6" s="33"/>
      <c r="M6" s="33"/>
      <c r="N6" s="33">
        <f>$C$26*'E Balans VL '!Y12/100/3.6*1000000</f>
        <v>44.912328700802348</v>
      </c>
      <c r="O6" s="33"/>
      <c r="P6" s="33"/>
      <c r="R6" s="32"/>
    </row>
    <row r="7" spans="1:18">
      <c r="A7" s="32" t="s">
        <v>52</v>
      </c>
      <c r="B7" s="37">
        <f t="shared" ref="B7:B12" si="0">B27</f>
        <v>1383.6416964671</v>
      </c>
      <c r="C7" s="33"/>
      <c r="D7" s="37">
        <f>IF(ISERROR(TER_horeca_gas_kWh/1000),0,TER_horeca_gas_kWh/1000)*0.902</f>
        <v>1997.001768031995</v>
      </c>
      <c r="E7" s="33">
        <f>$C$27*'E Balans VL '!I9/100/3.6*1000000</f>
        <v>75.827961672009167</v>
      </c>
      <c r="F7" s="33">
        <f>$C$27*('E Balans VL '!L9+'E Balans VL '!N9)/100/3.6*1000000</f>
        <v>234.15845764863056</v>
      </c>
      <c r="G7" s="34"/>
      <c r="H7" s="33"/>
      <c r="I7" s="33"/>
      <c r="J7" s="33">
        <f>$C$27*('E Balans VL '!D9+'E Balans VL '!E9)/100/3.6*1000000</f>
        <v>0</v>
      </c>
      <c r="K7" s="33"/>
      <c r="L7" s="33"/>
      <c r="M7" s="33"/>
      <c r="N7" s="33">
        <f>$C$27*'E Balans VL '!Y9/100/3.6*1000000</f>
        <v>0</v>
      </c>
      <c r="O7" s="33"/>
      <c r="P7" s="33"/>
      <c r="R7" s="32"/>
    </row>
    <row r="8" spans="1:18">
      <c r="A8" s="6" t="s">
        <v>51</v>
      </c>
      <c r="B8" s="37">
        <f t="shared" si="0"/>
        <v>5299.6754585748695</v>
      </c>
      <c r="C8" s="33"/>
      <c r="D8" s="37">
        <f>IF(ISERROR(TER_handel_gas_kWh/1000),0,TER_handel_gas_kWh/1000)*0.902</f>
        <v>2182.7399291341458</v>
      </c>
      <c r="E8" s="33">
        <f>$C$28*'E Balans VL '!I13/100/3.6*1000000</f>
        <v>26.811963061569468</v>
      </c>
      <c r="F8" s="33">
        <f>$C$28*('E Balans VL '!L13+'E Balans VL '!N13)/100/3.6*1000000</f>
        <v>805.2442359951965</v>
      </c>
      <c r="G8" s="34"/>
      <c r="H8" s="33"/>
      <c r="I8" s="33"/>
      <c r="J8" s="33">
        <f>$C$28*('E Balans VL '!D13+'E Balans VL '!E13)/100/3.6*1000000</f>
        <v>0</v>
      </c>
      <c r="K8" s="33"/>
      <c r="L8" s="33"/>
      <c r="M8" s="33"/>
      <c r="N8" s="33">
        <f>$C$28*'E Balans VL '!Y13/100/3.6*1000000</f>
        <v>2.4782701129376967</v>
      </c>
      <c r="O8" s="33"/>
      <c r="P8" s="33"/>
      <c r="R8" s="32"/>
    </row>
    <row r="9" spans="1:18">
      <c r="A9" s="32" t="s">
        <v>50</v>
      </c>
      <c r="B9" s="37">
        <f t="shared" si="0"/>
        <v>655.10015676173907</v>
      </c>
      <c r="C9" s="33"/>
      <c r="D9" s="37">
        <f>IF(ISERROR(TER_gezond_gas_kWh/1000),0,TER_gezond_gas_kWh/1000)*0.902</f>
        <v>352.8839556921414</v>
      </c>
      <c r="E9" s="33">
        <f>$C$29*'E Balans VL '!I10/100/3.6*1000000</f>
        <v>0.23822432838250895</v>
      </c>
      <c r="F9" s="33">
        <f>$C$29*('E Balans VL '!L10+'E Balans VL '!N10)/100/3.6*1000000</f>
        <v>141.54944165739246</v>
      </c>
      <c r="G9" s="34"/>
      <c r="H9" s="33"/>
      <c r="I9" s="33"/>
      <c r="J9" s="33">
        <f>$C$29*('E Balans VL '!D10+'E Balans VL '!E10)/100/3.6*1000000</f>
        <v>0</v>
      </c>
      <c r="K9" s="33"/>
      <c r="L9" s="33"/>
      <c r="M9" s="33"/>
      <c r="N9" s="33">
        <f>$C$29*'E Balans VL '!Y10/100/3.6*1000000</f>
        <v>4.9671488709533742</v>
      </c>
      <c r="O9" s="33"/>
      <c r="P9" s="33"/>
      <c r="R9" s="32"/>
    </row>
    <row r="10" spans="1:18">
      <c r="A10" s="32" t="s">
        <v>49</v>
      </c>
      <c r="B10" s="37">
        <f t="shared" si="0"/>
        <v>938.41979854409101</v>
      </c>
      <c r="C10" s="33"/>
      <c r="D10" s="37">
        <f>IF(ISERROR(TER_ander_gas_kWh/1000),0,TER_ander_gas_kWh/1000)*0.902</f>
        <v>924.38488029726534</v>
      </c>
      <c r="E10" s="33">
        <f>$C$30*'E Balans VL '!I14/100/3.6*1000000</f>
        <v>5.7127700864252047</v>
      </c>
      <c r="F10" s="33">
        <f>$C$30*('E Balans VL '!L14+'E Balans VL '!N14)/100/3.6*1000000</f>
        <v>248.44610399824703</v>
      </c>
      <c r="G10" s="34"/>
      <c r="H10" s="33"/>
      <c r="I10" s="33"/>
      <c r="J10" s="33">
        <f>$C$30*('E Balans VL '!D14+'E Balans VL '!E14)/100/3.6*1000000</f>
        <v>0</v>
      </c>
      <c r="K10" s="33"/>
      <c r="L10" s="33"/>
      <c r="M10" s="33"/>
      <c r="N10" s="33">
        <f>$C$30*'E Balans VL '!Y14/100/3.6*1000000</f>
        <v>195.4485073028917</v>
      </c>
      <c r="O10" s="33"/>
      <c r="P10" s="33"/>
      <c r="R10" s="32"/>
    </row>
    <row r="11" spans="1:18">
      <c r="A11" s="32" t="s">
        <v>54</v>
      </c>
      <c r="B11" s="37">
        <f t="shared" si="0"/>
        <v>131.11809391654299</v>
      </c>
      <c r="C11" s="33"/>
      <c r="D11" s="37">
        <f>IF(ISERROR(TER_onderwijs_gas_kWh/1000),0,TER_onderwijs_gas_kWh/1000)*0.902</f>
        <v>555.01039418217397</v>
      </c>
      <c r="E11" s="33">
        <f>$C$31*'E Balans VL '!I11/100/3.6*1000000</f>
        <v>0.16272890675105772</v>
      </c>
      <c r="F11" s="33">
        <f>$C$31*('E Balans VL '!L11+'E Balans VL '!N11)/100/3.6*1000000</f>
        <v>154.52953858547372</v>
      </c>
      <c r="G11" s="34"/>
      <c r="H11" s="33"/>
      <c r="I11" s="33"/>
      <c r="J11" s="33">
        <f>$C$31*('E Balans VL '!D11+'E Balans VL '!E11)/100/3.6*1000000</f>
        <v>0</v>
      </c>
      <c r="K11" s="33"/>
      <c r="L11" s="33"/>
      <c r="M11" s="33"/>
      <c r="N11" s="33">
        <f>$C$31*'E Balans VL '!Y11/100/3.6*1000000</f>
        <v>0.62935460479649219</v>
      </c>
      <c r="O11" s="33"/>
      <c r="P11" s="33"/>
      <c r="R11" s="32"/>
    </row>
    <row r="12" spans="1:18">
      <c r="A12" s="32" t="s">
        <v>249</v>
      </c>
      <c r="B12" s="37">
        <f t="shared" si="0"/>
        <v>1409.09706199521</v>
      </c>
      <c r="C12" s="33"/>
      <c r="D12" s="37">
        <f>IF(ISERROR(TER_rest_gas_kWh/1000),0,TER_rest_gas_kWh/1000)*0.902</f>
        <v>5082.0041838733996</v>
      </c>
      <c r="E12" s="33">
        <f>$C$32*'E Balans VL '!I8/100/3.6*1000000</f>
        <v>30.191142399721191</v>
      </c>
      <c r="F12" s="33">
        <f>$C$32*('E Balans VL '!L8+'E Balans VL '!N8)/100/3.6*1000000</f>
        <v>278.69843281407452</v>
      </c>
      <c r="G12" s="34"/>
      <c r="H12" s="33"/>
      <c r="I12" s="33"/>
      <c r="J12" s="33">
        <f>$C$32*('E Balans VL '!D8+'E Balans VL '!E8)/100/3.6*1000000</f>
        <v>0</v>
      </c>
      <c r="K12" s="33"/>
      <c r="L12" s="33"/>
      <c r="M12" s="33"/>
      <c r="N12" s="33">
        <f>$C$32*'E Balans VL '!Y8/100/3.6*1000000</f>
        <v>41.026831028141387</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12730.509531230431</v>
      </c>
      <c r="C16" s="21">
        <f ca="1">C5+C13+C14</f>
        <v>0</v>
      </c>
      <c r="D16" s="21">
        <f t="shared" ref="D16:N16" ca="1" si="1">MAX((D5+D13+D14),0)</f>
        <v>15044.331351211242</v>
      </c>
      <c r="E16" s="21">
        <f t="shared" si="1"/>
        <v>239.72713606322023</v>
      </c>
      <c r="F16" s="21">
        <f t="shared" ca="1" si="1"/>
        <v>2307.3963986250519</v>
      </c>
      <c r="G16" s="21">
        <f t="shared" si="1"/>
        <v>0</v>
      </c>
      <c r="H16" s="21">
        <f t="shared" si="1"/>
        <v>0</v>
      </c>
      <c r="I16" s="21">
        <f t="shared" si="1"/>
        <v>0</v>
      </c>
      <c r="J16" s="21">
        <f t="shared" si="1"/>
        <v>0</v>
      </c>
      <c r="K16" s="21">
        <f t="shared" si="1"/>
        <v>0</v>
      </c>
      <c r="L16" s="21">
        <f t="shared" ca="1" si="1"/>
        <v>0</v>
      </c>
      <c r="M16" s="21">
        <f t="shared" si="1"/>
        <v>0</v>
      </c>
      <c r="N16" s="21">
        <f t="shared" ca="1" si="1"/>
        <v>289.46244062052301</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0.21368722742876858</v>
      </c>
      <c r="C18" s="25">
        <f ca="1">'EF ele_warmte'!B22</f>
        <v>7.8529411764705889E-2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2720.3472854841434</v>
      </c>
      <c r="C20" s="23">
        <f t="shared" ref="C20:P20" ca="1" si="2">C16*C18</f>
        <v>0</v>
      </c>
      <c r="D20" s="23">
        <f t="shared" ca="1" si="2"/>
        <v>3038.9549329446709</v>
      </c>
      <c r="E20" s="23">
        <f t="shared" si="2"/>
        <v>54.418059886350996</v>
      </c>
      <c r="F20" s="23">
        <f t="shared" ca="1" si="2"/>
        <v>616.0748384328889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2913.4572649708798</v>
      </c>
      <c r="C26" s="39">
        <f>IF(ISERROR(B26*3.6/1000000/'E Balans VL '!Z12*100),0,B26*3.6/1000000/'E Balans VL '!Z12*100)</f>
        <v>6.0587399797381127E-2</v>
      </c>
      <c r="D26" s="233" t="s">
        <v>676</v>
      </c>
      <c r="F26" s="6"/>
    </row>
    <row r="27" spans="1:18">
      <c r="A27" s="228" t="s">
        <v>52</v>
      </c>
      <c r="B27" s="33">
        <f>IF(ISERROR(TER_horeca_ele_kWh/1000),0,TER_horeca_ele_kWh/1000)</f>
        <v>1383.6416964671</v>
      </c>
      <c r="C27" s="39">
        <f>IF(ISERROR(B27*3.6/1000000/'E Balans VL '!Z9*100),0,B27*3.6/1000000/'E Balans VL '!Z9*100)</f>
        <v>0.11380551143560769</v>
      </c>
      <c r="D27" s="233" t="s">
        <v>676</v>
      </c>
      <c r="F27" s="6"/>
    </row>
    <row r="28" spans="1:18">
      <c r="A28" s="168" t="s">
        <v>51</v>
      </c>
      <c r="B28" s="33">
        <f>IF(ISERROR(TER_handel_ele_kWh/1000),0,TER_handel_ele_kWh/1000)</f>
        <v>5299.6754585748695</v>
      </c>
      <c r="C28" s="39">
        <f>IF(ISERROR(B28*3.6/1000000/'E Balans VL '!Z13*100),0,B28*3.6/1000000/'E Balans VL '!Z13*100)</f>
        <v>0.14669398063458042</v>
      </c>
      <c r="D28" s="233" t="s">
        <v>676</v>
      </c>
      <c r="F28" s="6"/>
    </row>
    <row r="29" spans="1:18">
      <c r="A29" s="228" t="s">
        <v>50</v>
      </c>
      <c r="B29" s="33">
        <f>IF(ISERROR(TER_gezond_ele_kWh/1000),0,TER_gezond_ele_kWh/1000)</f>
        <v>655.10015676173907</v>
      </c>
      <c r="C29" s="39">
        <f>IF(ISERROR(B29*3.6/1000000/'E Balans VL '!Z10*100),0,B29*3.6/1000000/'E Balans VL '!Z10*100)</f>
        <v>7.4709417916852025E-2</v>
      </c>
      <c r="D29" s="233" t="s">
        <v>676</v>
      </c>
      <c r="F29" s="6"/>
    </row>
    <row r="30" spans="1:18">
      <c r="A30" s="228" t="s">
        <v>49</v>
      </c>
      <c r="B30" s="33">
        <f>IF(ISERROR(TER_ander_ele_kWh/1000),0,TER_ander_ele_kWh/1000)</f>
        <v>938.41979854409101</v>
      </c>
      <c r="C30" s="39">
        <f>IF(ISERROR(B30*3.6/1000000/'E Balans VL '!Z14*100),0,B30*3.6/1000000/'E Balans VL '!Z14*100)</f>
        <v>7.2636237895060698E-2</v>
      </c>
      <c r="D30" s="233" t="s">
        <v>676</v>
      </c>
      <c r="F30" s="6"/>
    </row>
    <row r="31" spans="1:18">
      <c r="A31" s="228" t="s">
        <v>54</v>
      </c>
      <c r="B31" s="33">
        <f>IF(ISERROR(TER_onderwijs_ele_kWh/1000),0,TER_onderwijs_ele_kWh/1000)</f>
        <v>131.11809391654299</v>
      </c>
      <c r="C31" s="39">
        <f>IF(ISERROR(B31*3.6/1000000/'E Balans VL '!Z11*100),0,B31*3.6/1000000/'E Balans VL '!Z11*100)</f>
        <v>4.0853917870593462E-2</v>
      </c>
      <c r="D31" s="233" t="s">
        <v>676</v>
      </c>
    </row>
    <row r="32" spans="1:18">
      <c r="A32" s="228" t="s">
        <v>249</v>
      </c>
      <c r="B32" s="33">
        <f>IF(ISERROR(TER_rest_ele_kWh/1000),0,TER_rest_ele_kWh/1000)</f>
        <v>1409.09706199521</v>
      </c>
      <c r="C32" s="39">
        <f>IF(ISERROR(B32*3.6/1000000/'E Balans VL '!Z8*100),0,B32*3.6/1000000/'E Balans VL '!Z8*100)</f>
        <v>1.1619526678724039E-2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76774.689179184672</v>
      </c>
      <c r="C5" s="17">
        <f>IF(ISERROR('Eigen informatie GS &amp; warmtenet'!B59),0,'Eigen informatie GS &amp; warmtenet'!B59)</f>
        <v>0</v>
      </c>
      <c r="D5" s="30">
        <f>SUM(D6:D15)</f>
        <v>32913.659365031352</v>
      </c>
      <c r="E5" s="17">
        <f>SUM(E6:E15)</f>
        <v>713.64720741650797</v>
      </c>
      <c r="F5" s="17">
        <f>SUM(F6:F15)</f>
        <v>13308.336595857394</v>
      </c>
      <c r="G5" s="18"/>
      <c r="H5" s="17"/>
      <c r="I5" s="17"/>
      <c r="J5" s="17">
        <f>SUM(J6:J15)</f>
        <v>316.90029185304024</v>
      </c>
      <c r="K5" s="17"/>
      <c r="L5" s="17"/>
      <c r="M5" s="17"/>
      <c r="N5" s="17">
        <f>SUM(N6:N15)</f>
        <v>1207.720051750247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1316.06847777391</v>
      </c>
      <c r="C9" s="33"/>
      <c r="D9" s="37">
        <f>IF( ISERROR(IND_andere_gas_kWh/1000),0,IND_andere_gas_kWh/1000)*0.902</f>
        <v>1154.1311780705828</v>
      </c>
      <c r="E9" s="33">
        <f>C31*'E Balans VL '!I19/100/3.6*1000000</f>
        <v>22.104982319573903</v>
      </c>
      <c r="F9" s="33">
        <f>C31*'E Balans VL '!L19/100/3.6*1000000+C31*'E Balans VL '!N19/100/3.6*1000000</f>
        <v>1028.8273782600556</v>
      </c>
      <c r="G9" s="34"/>
      <c r="H9" s="33"/>
      <c r="I9" s="33"/>
      <c r="J9" s="40">
        <f>C31*'E Balans VL '!D19/100/3.6*1000000+C31*'E Balans VL '!E19/100/3.6*1000000</f>
        <v>0.11869775925218054</v>
      </c>
      <c r="K9" s="33"/>
      <c r="L9" s="33"/>
      <c r="M9" s="33"/>
      <c r="N9" s="33">
        <f>C31*'E Balans VL '!Y19/100/3.6*1000000</f>
        <v>97.541788662913262</v>
      </c>
      <c r="O9" s="33"/>
      <c r="P9" s="33"/>
      <c r="R9" s="32"/>
    </row>
    <row r="10" spans="1:18">
      <c r="A10" s="6" t="s">
        <v>40</v>
      </c>
      <c r="B10" s="37">
        <f t="shared" si="0"/>
        <v>72769.0214766219</v>
      </c>
      <c r="C10" s="33"/>
      <c r="D10" s="37">
        <f>IF( ISERROR(IND_voed_gas_kWh/1000),0,IND_voed_gas_kWh/1000)*0.902</f>
        <v>28536.389212874859</v>
      </c>
      <c r="E10" s="33">
        <f>C32*'E Balans VL '!I20/100/3.6*1000000</f>
        <v>663.91431278727748</v>
      </c>
      <c r="F10" s="33">
        <f>C32*'E Balans VL '!L20/100/3.6*1000000+C32*'E Balans VL '!N20/100/3.6*1000000</f>
        <v>11739.919245969957</v>
      </c>
      <c r="G10" s="34"/>
      <c r="H10" s="33"/>
      <c r="I10" s="33"/>
      <c r="J10" s="40">
        <f>C32*'E Balans VL '!D20/100/3.6*1000000+C32*'E Balans VL '!E20/100/3.6*1000000</f>
        <v>299.7105401206</v>
      </c>
      <c r="K10" s="33"/>
      <c r="L10" s="33"/>
      <c r="M10" s="33"/>
      <c r="N10" s="33">
        <f>C32*'E Balans VL '!Y20/100/3.6*1000000</f>
        <v>1064.5534042191134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154.30129174158998</v>
      </c>
      <c r="C13" s="33"/>
      <c r="D13" s="37">
        <f>IF( ISERROR(IND_papier_gas_kWh/1000),0,IND_papier_gas_kWh/1000)*0.902</f>
        <v>125.63061955869107</v>
      </c>
      <c r="E13" s="33">
        <f>C35*'E Balans VL '!I23/100/3.6*1000000</f>
        <v>4.747448056381903</v>
      </c>
      <c r="F13" s="33">
        <f>C35*'E Balans VL '!L23/100/3.6*1000000+C35*'E Balans VL '!N23/100/3.6*1000000</f>
        <v>32.76355674828347</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2535.2979330472699</v>
      </c>
      <c r="C15" s="33"/>
      <c r="D15" s="37">
        <f>IF( ISERROR(IND_rest_gas_kWh/1000),0,IND_rest_gas_kWh/1000)*0.902</f>
        <v>3097.5083545272178</v>
      </c>
      <c r="E15" s="33">
        <f>C37*'E Balans VL '!I15/100/3.6*1000000</f>
        <v>22.880464253274717</v>
      </c>
      <c r="F15" s="33">
        <f>C37*'E Balans VL '!L15/100/3.6*1000000+C37*'E Balans VL '!N15/100/3.6*1000000</f>
        <v>506.82641487909916</v>
      </c>
      <c r="G15" s="34"/>
      <c r="H15" s="33"/>
      <c r="I15" s="33"/>
      <c r="J15" s="40">
        <f>C37*'E Balans VL '!D15/100/3.6*1000000+C37*'E Balans VL '!E15/100/3.6*1000000</f>
        <v>17.071053973188015</v>
      </c>
      <c r="K15" s="33"/>
      <c r="L15" s="33"/>
      <c r="M15" s="33"/>
      <c r="N15" s="33">
        <f>C37*'E Balans VL '!Y15/100/3.6*1000000</f>
        <v>45.624858868220294</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76774.689179184672</v>
      </c>
      <c r="C18" s="21">
        <f>C5+C16</f>
        <v>0</v>
      </c>
      <c r="D18" s="21">
        <f>MAX((D5+D16),0)</f>
        <v>32913.659365031352</v>
      </c>
      <c r="E18" s="21">
        <f>MAX((E5+E16),0)</f>
        <v>713.64720741650797</v>
      </c>
      <c r="F18" s="21">
        <f>MAX((F5+F16),0)</f>
        <v>13308.336595857394</v>
      </c>
      <c r="G18" s="21"/>
      <c r="H18" s="21"/>
      <c r="I18" s="21"/>
      <c r="J18" s="21">
        <f>MAX((J5+J16),0)</f>
        <v>316.90029185304024</v>
      </c>
      <c r="K18" s="21"/>
      <c r="L18" s="21">
        <f>MAX((L5+L16),0)</f>
        <v>0</v>
      </c>
      <c r="M18" s="21"/>
      <c r="N18" s="21">
        <f>MAX((N5+N16),0)</f>
        <v>1207.720051750247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0.21368722742876858</v>
      </c>
      <c r="C20" s="25">
        <f ca="1">'EF ele_warmte'!B22</f>
        <v>7.8529411764705889E-2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16405.770467405455</v>
      </c>
      <c r="C22" s="23">
        <f ca="1">C18*C20</f>
        <v>0</v>
      </c>
      <c r="D22" s="23">
        <f>D18*D20</f>
        <v>6648.5591917363336</v>
      </c>
      <c r="E22" s="23">
        <f>E18*E20</f>
        <v>161.99791608354732</v>
      </c>
      <c r="F22" s="23">
        <f>F18*F20</f>
        <v>3553.3258710939244</v>
      </c>
      <c r="G22" s="23"/>
      <c r="H22" s="23"/>
      <c r="I22" s="23"/>
      <c r="J22" s="23">
        <f>J18*J20</f>
        <v>112.18270331597624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1316.06847777391</v>
      </c>
      <c r="C31" s="39">
        <f>IF(ISERROR(B31*3.6/1000000/'E Balans VL '!Z19*100),0,B31*3.6/1000000/'E Balans VL '!Z19*100)</f>
        <v>5.8336100110286691E-2</v>
      </c>
      <c r="D31" s="233" t="s">
        <v>676</v>
      </c>
    </row>
    <row r="32" spans="1:18">
      <c r="A32" s="168" t="s">
        <v>40</v>
      </c>
      <c r="B32" s="37">
        <f>IF( ISERROR(IND_voed_ele_kWh/1000),0,IND_voed_ele_kWh/1000)</f>
        <v>72769.0214766219</v>
      </c>
      <c r="C32" s="39">
        <f>IF(ISERROR(B32*3.6/1000000/'E Balans VL '!Z20*100),0,B32*3.6/1000000/'E Balans VL '!Z20*100)</f>
        <v>2.4306940646246065</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154.30129174158998</v>
      </c>
      <c r="C35" s="39">
        <f>IF(ISERROR(B35*3.6/1000000/'E Balans VL '!Z22*100),0,B35*3.6/1000000/'E Balans VL '!Z22*100)</f>
        <v>3.0009906340393605E-2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2535.2979330472699</v>
      </c>
      <c r="C37" s="39">
        <f>IF(ISERROR(B37*3.6/1000000/'E Balans VL '!Z15*100),0,B37*3.6/1000000/'E Balans VL '!Z15*100)</f>
        <v>1.8858486268231424E-2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1604.564579195581</v>
      </c>
      <c r="C5" s="17">
        <f>'Eigen informatie GS &amp; warmtenet'!B60</f>
        <v>0</v>
      </c>
      <c r="D5" s="30">
        <f>IF(ISERROR(SUM(LB_lb_gas_kWh,LB_rest_gas_kWh)/1000),0,SUM(LB_lb_gas_kWh,LB_rest_gas_kWh)/1000)*0.902</f>
        <v>542.51974067003096</v>
      </c>
      <c r="E5" s="17">
        <f>B17*'E Balans VL '!I25/3.6*1000000/100</f>
        <v>14.459162871553101</v>
      </c>
      <c r="F5" s="17">
        <f>B17*('E Balans VL '!L25/3.6*1000000+'E Balans VL '!N25/3.6*1000000)/100</f>
        <v>6012.3524158449991</v>
      </c>
      <c r="G5" s="18"/>
      <c r="H5" s="17"/>
      <c r="I5" s="17"/>
      <c r="J5" s="17">
        <f>('E Balans VL '!D25+'E Balans VL '!E25)/3.6*1000000*landbouw!B17/100</f>
        <v>162.37529912080024</v>
      </c>
      <c r="K5" s="17"/>
      <c r="L5" s="17">
        <f>L6*(-1)</f>
        <v>6750</v>
      </c>
      <c r="M5" s="17"/>
      <c r="N5" s="17">
        <f>N6*(-1)</f>
        <v>0</v>
      </c>
      <c r="O5" s="17"/>
      <c r="P5" s="17"/>
      <c r="R5" s="32"/>
    </row>
    <row r="6" spans="1:18">
      <c r="A6" s="16" t="s">
        <v>483</v>
      </c>
      <c r="B6" s="17" t="s">
        <v>204</v>
      </c>
      <c r="C6" s="17">
        <f>'lokale energieproductie'!O39+'lokale energieproductie'!O32</f>
        <v>4050</v>
      </c>
      <c r="D6" s="302">
        <f>('lokale energieproductie'!P32+'lokale energieproductie'!P39)*(-1)</f>
        <v>0</v>
      </c>
      <c r="E6" s="244"/>
      <c r="F6" s="302">
        <f>('lokale energieproductie'!S32+'lokale energieproductie'!S39)*(-1)</f>
        <v>-2250</v>
      </c>
      <c r="G6" s="245"/>
      <c r="H6" s="244"/>
      <c r="I6" s="244"/>
      <c r="J6" s="244"/>
      <c r="K6" s="244"/>
      <c r="L6" s="302">
        <f>('lokale energieproductie'!T32+'lokale energieproductie'!U32+'lokale energieproductie'!T39+'lokale energieproductie'!U39)*(-1)</f>
        <v>-6750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1604.564579195581</v>
      </c>
      <c r="C8" s="21">
        <f>C5+C6</f>
        <v>4050</v>
      </c>
      <c r="D8" s="21">
        <f>MAX((D5+D6),0)</f>
        <v>542.51974067003096</v>
      </c>
      <c r="E8" s="21">
        <f>MAX((E5+E6),0)</f>
        <v>14.459162871553101</v>
      </c>
      <c r="F8" s="21">
        <f>MAX((F5+F6),0)</f>
        <v>3762.3524158449991</v>
      </c>
      <c r="G8" s="21"/>
      <c r="H8" s="21"/>
      <c r="I8" s="21"/>
      <c r="J8" s="21">
        <f>MAX((J5+J6),0)</f>
        <v>162.37529912080024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0.21368722742876858</v>
      </c>
      <c r="C10" s="31">
        <f ca="1">'EF ele_warmte'!B22</f>
        <v>7.8529411764705889E-2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342.87495615871251</v>
      </c>
      <c r="C12" s="23">
        <f ca="1">C8*C10</f>
        <v>318.04411764705884</v>
      </c>
      <c r="D12" s="23">
        <f>D8*D10</f>
        <v>109.58898761534626</v>
      </c>
      <c r="E12" s="23">
        <f>E8*E10</f>
        <v>3.2822299718425541</v>
      </c>
      <c r="F12" s="23">
        <f>F8*F10</f>
        <v>1004.5480950306148</v>
      </c>
      <c r="G12" s="23"/>
      <c r="H12" s="23"/>
      <c r="I12" s="23"/>
      <c r="J12" s="23">
        <f>J8*J10</f>
        <v>57.48085588876328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0.24697346255849198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128.46560115293022</v>
      </c>
      <c r="C26" s="243">
        <f>B26*'GWP N2O_CH4'!B5</f>
        <v>2697.7776242115347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27.786083449784048</v>
      </c>
      <c r="C27" s="243">
        <f>B27*'GWP N2O_CH4'!B5</f>
        <v>583.50775244546503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1.9830125153666223</v>
      </c>
      <c r="C28" s="243">
        <f>B28*'GWP N2O_CH4'!B4</f>
        <v>614.73387976365291</v>
      </c>
      <c r="D28" s="50"/>
    </row>
    <row r="29" spans="1:4">
      <c r="A29" s="41" t="s">
        <v>266</v>
      </c>
      <c r="B29" s="243">
        <f>B34*'ha_N2O bodem landbouw'!B4</f>
        <v>7.3361681107326167</v>
      </c>
      <c r="C29" s="243">
        <f>B29*'GWP N2O_CH4'!B4</f>
        <v>2274.2121143271111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1.904696765137953E-3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3.878617771529281E-6</v>
      </c>
      <c r="C5" s="431" t="s">
        <v>204</v>
      </c>
      <c r="D5" s="416">
        <f>SUM(D6:D11)</f>
        <v>1.7045617101807395E-5</v>
      </c>
      <c r="E5" s="416">
        <f>SUM(E6:E11)</f>
        <v>1.6923985241011959E-3</v>
      </c>
      <c r="F5" s="429" t="s">
        <v>204</v>
      </c>
      <c r="G5" s="416">
        <f>SUM(G6:G11)</f>
        <v>0.29317459806164747</v>
      </c>
      <c r="H5" s="416">
        <f>SUM(H6:H11)</f>
        <v>5.6885155494328286E-2</v>
      </c>
      <c r="I5" s="431" t="s">
        <v>204</v>
      </c>
      <c r="J5" s="431" t="s">
        <v>204</v>
      </c>
      <c r="K5" s="431" t="s">
        <v>204</v>
      </c>
      <c r="L5" s="431" t="s">
        <v>204</v>
      </c>
      <c r="M5" s="416">
        <f>SUM(M6:M11)</f>
        <v>1.5247863496216513E-2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1.3581944121885398E-6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4.2871092403208549E-6</v>
      </c>
      <c r="E6" s="419">
        <f>vkm_GW_PW*SUMIFS(TableVerdeelsleutelVkm[LPG],TableVerdeelsleutelVkm[Voertuigtype],"Lichte voertuigen")*SUMIFS(TableECFTransport[EnergieConsumptieFactor (PJ per km)],TableECFTransport[Index],CONCATENATE($A6,"_LPG_LPG"))</f>
        <v>4.4525257416563879E-4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5.943342345287532E-2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1.4927114781794275E-2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3.2473645545579039E-3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5.9543336841604916E-8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2.6840679105918804E-2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7.8976962996264965E-7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1.1563105195380053E-3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2.383143834041899E-6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1.2758507861486542E-5</v>
      </c>
      <c r="E8" s="419">
        <f>vkm_NGW_PW*SUMIFS(TableVerdeelsleutelVkm[LPG],TableVerdeelsleutelVkm[Voertuigtype],"Lichte voertuigen")*SUMIFS(TableECFTransport[EnergieConsumptieFactor (PJ per km)],TableECFTransport[Index],CONCATENATE($A8,"_LPG_LPG"))</f>
        <v>1.2471459499355571E-3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0.15836241589256675</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4.1956006408379168E-2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8.7531509734093509E-3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7.7736188457236983E-8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4.8538079610286604E-2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1.2445345248816925E-6</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2.0910374487112518E-3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1.0773938254248003</v>
      </c>
      <c r="C14" s="21"/>
      <c r="D14" s="21">
        <f t="shared" ref="D14:M14" si="0">((D5)*10^9/3600)+D12</f>
        <v>4.7348936393909433</v>
      </c>
      <c r="E14" s="21">
        <f t="shared" si="0"/>
        <v>470.11070113922108</v>
      </c>
      <c r="F14" s="21"/>
      <c r="G14" s="21">
        <f t="shared" si="0"/>
        <v>81437.388350457637</v>
      </c>
      <c r="H14" s="21">
        <f t="shared" si="0"/>
        <v>15801.432081757855</v>
      </c>
      <c r="I14" s="21"/>
      <c r="J14" s="21"/>
      <c r="K14" s="21"/>
      <c r="L14" s="21"/>
      <c r="M14" s="21">
        <f t="shared" si="0"/>
        <v>4235.5176378379201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0.21368722742876858</v>
      </c>
      <c r="C16" s="56">
        <f ca="1">'EF ele_warmte'!B22</f>
        <v>7.8529411764705889E-2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0.2302252994039003</v>
      </c>
      <c r="C18" s="23"/>
      <c r="D18" s="23">
        <f t="shared" ref="D18:M18" si="1">D14*D16</f>
        <v>0.9564485151569706</v>
      </c>
      <c r="E18" s="23">
        <f t="shared" si="1"/>
        <v>106.71512915860319</v>
      </c>
      <c r="F18" s="23"/>
      <c r="G18" s="23">
        <f t="shared" si="1"/>
        <v>21743.782689572192</v>
      </c>
      <c r="H18" s="23">
        <f t="shared" si="1"/>
        <v>3934.556588357706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1.4121527813000628E-5</v>
      </c>
      <c r="C50" s="313">
        <f t="shared" ref="C50:P50" si="2">SUM(C51:C52)</f>
        <v>0</v>
      </c>
      <c r="D50" s="313">
        <f t="shared" si="2"/>
        <v>0</v>
      </c>
      <c r="E50" s="313">
        <f t="shared" si="2"/>
        <v>0</v>
      </c>
      <c r="F50" s="313">
        <f t="shared" si="2"/>
        <v>0</v>
      </c>
      <c r="G50" s="313">
        <f t="shared" si="2"/>
        <v>3.0635236808914976E-3</v>
      </c>
      <c r="H50" s="313">
        <f t="shared" si="2"/>
        <v>0</v>
      </c>
      <c r="I50" s="313">
        <f t="shared" si="2"/>
        <v>0</v>
      </c>
      <c r="J50" s="313">
        <f t="shared" si="2"/>
        <v>0</v>
      </c>
      <c r="K50" s="313">
        <f t="shared" si="2"/>
        <v>0</v>
      </c>
      <c r="L50" s="313">
        <f t="shared" si="2"/>
        <v>0</v>
      </c>
      <c r="M50" s="313">
        <f t="shared" si="2"/>
        <v>1.3116831625841329E-4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1.4121527813000628E-5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3.0635236808914976E-3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1.3116831625841329E-4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3.9226466147223968</v>
      </c>
      <c r="C54" s="21">
        <f t="shared" ref="C54:P54" si="3">(C50)*10^9/3600</f>
        <v>0</v>
      </c>
      <c r="D54" s="21">
        <f t="shared" si="3"/>
        <v>0</v>
      </c>
      <c r="E54" s="21">
        <f t="shared" si="3"/>
        <v>0</v>
      </c>
      <c r="F54" s="21">
        <f t="shared" si="3"/>
        <v>0</v>
      </c>
      <c r="G54" s="21">
        <f t="shared" si="3"/>
        <v>850.97880024763822</v>
      </c>
      <c r="H54" s="21">
        <f t="shared" si="3"/>
        <v>0</v>
      </c>
      <c r="I54" s="21">
        <f t="shared" si="3"/>
        <v>0</v>
      </c>
      <c r="J54" s="21">
        <f t="shared" si="3"/>
        <v>0</v>
      </c>
      <c r="K54" s="21">
        <f t="shared" si="3"/>
        <v>0</v>
      </c>
      <c r="L54" s="21">
        <f t="shared" si="3"/>
        <v>0</v>
      </c>
      <c r="M54" s="21">
        <f t="shared" si="3"/>
        <v>36.435643405114803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0.21368722742876858</v>
      </c>
      <c r="C56" s="56">
        <f ca="1">'EF ele_warmte'!B22</f>
        <v>7.8529411764705889E-2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0.83821947928287399</v>
      </c>
      <c r="C58" s="23">
        <f t="shared" ref="C58:P58" ca="1" si="4">C54*C56</f>
        <v>0</v>
      </c>
      <c r="D58" s="23">
        <f t="shared" si="4"/>
        <v>0</v>
      </c>
      <c r="E58" s="23">
        <f t="shared" si="4"/>
        <v>0</v>
      </c>
      <c r="F58" s="23">
        <f t="shared" si="4"/>
        <v>0</v>
      </c>
      <c r="G58" s="23">
        <f t="shared" si="4"/>
        <v>227.21133966611941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1906.809346548775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3600</v>
      </c>
      <c r="C8" s="542">
        <f>B48</f>
        <v>0</v>
      </c>
      <c r="D8" s="920"/>
      <c r="E8" s="920">
        <f>E48</f>
        <v>1058.8235294117646</v>
      </c>
      <c r="F8" s="921"/>
      <c r="G8" s="543"/>
      <c r="H8" s="920">
        <f>I48</f>
        <v>0</v>
      </c>
      <c r="I8" s="920">
        <f>G48+F48</f>
        <v>3176.4705882352941</v>
      </c>
      <c r="J8" s="920">
        <f>H48+D48+C48</f>
        <v>0</v>
      </c>
      <c r="K8" s="920"/>
      <c r="L8" s="920"/>
      <c r="M8" s="920"/>
      <c r="N8" s="544"/>
      <c r="O8" s="545">
        <f>C8*$C$12+D8*$D$12+E8*$E$12+F8*$F$12+G8*$G$12+H8*$H$12+I8*$I$12+J8*$J$12</f>
        <v>282.70588235294116</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5506.8093465487746</v>
      </c>
      <c r="C10" s="554">
        <f t="shared" ref="C10:L10" si="0">SUM(C8:C9)</f>
        <v>0</v>
      </c>
      <c r="D10" s="554">
        <f t="shared" si="0"/>
        <v>0</v>
      </c>
      <c r="E10" s="554">
        <f t="shared" si="0"/>
        <v>1058.8235294117646</v>
      </c>
      <c r="F10" s="554">
        <f t="shared" si="0"/>
        <v>0</v>
      </c>
      <c r="G10" s="554">
        <f t="shared" si="0"/>
        <v>0</v>
      </c>
      <c r="H10" s="554">
        <f t="shared" si="0"/>
        <v>0</v>
      </c>
      <c r="I10" s="554">
        <f t="shared" si="0"/>
        <v>3176.4705882352941</v>
      </c>
      <c r="J10" s="554">
        <f t="shared" si="0"/>
        <v>0</v>
      </c>
      <c r="K10" s="554">
        <f t="shared" si="0"/>
        <v>0</v>
      </c>
      <c r="L10" s="554">
        <f t="shared" si="0"/>
        <v>0</v>
      </c>
      <c r="M10" s="915"/>
      <c r="N10" s="915"/>
      <c r="O10" s="555">
        <f>SUM(O4:O9)</f>
        <v>282.70588235294116</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4050</v>
      </c>
      <c r="C17" s="566">
        <f>B49</f>
        <v>0</v>
      </c>
      <c r="D17" s="567"/>
      <c r="E17" s="567">
        <f>E49</f>
        <v>1191.1764705882354</v>
      </c>
      <c r="F17" s="568"/>
      <c r="G17" s="569"/>
      <c r="H17" s="566">
        <f>I49</f>
        <v>0</v>
      </c>
      <c r="I17" s="567">
        <f>G49+F49</f>
        <v>3573.5294117647059</v>
      </c>
      <c r="J17" s="567">
        <f>H49+D49+C49</f>
        <v>0</v>
      </c>
      <c r="K17" s="567"/>
      <c r="L17" s="567"/>
      <c r="M17" s="567"/>
      <c r="N17" s="916"/>
      <c r="O17" s="570">
        <f>C17*$C$22+E17*$E$22+H17*$H$22+I17*$I$22+J17*$J$22+D17*$D$22+F17*$F$22+G17*$G$22+K17*$K$22+L17*$L$22</f>
        <v>318.04411764705884</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4050</v>
      </c>
      <c r="C20" s="553">
        <f>SUM(C17:C19)</f>
        <v>0</v>
      </c>
      <c r="D20" s="553">
        <f t="shared" ref="D20:L20" si="1">SUM(D17:D19)</f>
        <v>0</v>
      </c>
      <c r="E20" s="553">
        <f t="shared" si="1"/>
        <v>1191.1764705882354</v>
      </c>
      <c r="F20" s="553">
        <f t="shared" si="1"/>
        <v>0</v>
      </c>
      <c r="G20" s="553">
        <f t="shared" si="1"/>
        <v>0</v>
      </c>
      <c r="H20" s="553">
        <f t="shared" si="1"/>
        <v>0</v>
      </c>
      <c r="I20" s="553">
        <f t="shared" si="1"/>
        <v>3573.5294117647059</v>
      </c>
      <c r="J20" s="553">
        <f t="shared" si="1"/>
        <v>0</v>
      </c>
      <c r="K20" s="553">
        <f t="shared" si="1"/>
        <v>0</v>
      </c>
      <c r="L20" s="553">
        <f t="shared" si="1"/>
        <v>0</v>
      </c>
      <c r="M20" s="553"/>
      <c r="N20" s="553"/>
      <c r="O20" s="574">
        <f>SUM(O17:O19)</f>
        <v>318.04411764705884</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38.25" hidden="1">
      <c r="A28" s="578"/>
      <c r="B28" s="736">
        <v>42011</v>
      </c>
      <c r="C28" s="736">
        <v>9280</v>
      </c>
      <c r="D28" s="626"/>
      <c r="E28" s="625"/>
      <c r="F28" s="625"/>
      <c r="G28" s="625" t="s">
        <v>962</v>
      </c>
      <c r="H28" s="625" t="s">
        <v>963</v>
      </c>
      <c r="I28" s="625"/>
      <c r="J28" s="735"/>
      <c r="K28" s="735"/>
      <c r="L28" s="625" t="s">
        <v>964</v>
      </c>
      <c r="M28" s="625">
        <v>800</v>
      </c>
      <c r="N28" s="625">
        <v>3600</v>
      </c>
      <c r="O28" s="625">
        <v>4050</v>
      </c>
      <c r="P28" s="625">
        <v>0</v>
      </c>
      <c r="Q28" s="625">
        <v>0</v>
      </c>
      <c r="R28" s="625">
        <v>0</v>
      </c>
      <c r="S28" s="625">
        <v>2250</v>
      </c>
      <c r="T28" s="625">
        <v>6750</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800</v>
      </c>
      <c r="N29" s="583">
        <f>SUM(N28:N28)</f>
        <v>3600</v>
      </c>
      <c r="O29" s="583">
        <f>SUM(O28:O28)</f>
        <v>4050</v>
      </c>
      <c r="P29" s="583">
        <f>SUM(P28:P28)</f>
        <v>0</v>
      </c>
      <c r="Q29" s="583">
        <f>SUM(Q28:Q28)</f>
        <v>0</v>
      </c>
      <c r="R29" s="583">
        <f>SUM(R28:R28)</f>
        <v>0</v>
      </c>
      <c r="S29" s="583">
        <f>SUM(S28:S28)</f>
        <v>2250</v>
      </c>
      <c r="T29" s="583">
        <f>SUM(T28:T28)</f>
        <v>6750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800</v>
      </c>
      <c r="N32" s="588">
        <f>SUMIF($AA$28:$AA$28,"landbouw",N28:N28)</f>
        <v>3600</v>
      </c>
      <c r="O32" s="588">
        <f>SUMIF($AA$28:$AA$28,"landbouw",O28:O28)</f>
        <v>4050</v>
      </c>
      <c r="P32" s="588">
        <f>SUMIF($AA$28:$AA$28,"landbouw",P28:P28)</f>
        <v>0</v>
      </c>
      <c r="Q32" s="588">
        <f>SUMIF($AA$28:$AA$28,"landbouw",Q28:Q28)</f>
        <v>0</v>
      </c>
      <c r="R32" s="588">
        <f>SUMIF($AA$28:$AA$28,"landbouw",R28:R28)</f>
        <v>0</v>
      </c>
      <c r="S32" s="588">
        <f>SUMIF($AA$28:$AA$28,"landbouw",S28:S28)</f>
        <v>2250</v>
      </c>
      <c r="T32" s="588">
        <f>SUMIF($AA$28:$AA$28,"landbouw",T28:T28)</f>
        <v>6750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0.52941176470588236</v>
      </c>
      <c r="C45" s="608">
        <f>IF(ISERROR(N29/(O29+N29)),0,N29/(N29+O29))</f>
        <v>0.47058823529411764</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1058.8235294117646</v>
      </c>
      <c r="F48" s="617">
        <f t="shared" si="2"/>
        <v>3176.4705882352941</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1191.1764705882354</v>
      </c>
      <c r="F49" s="620">
        <f t="shared" si="3"/>
        <v>3573.5294117647059</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13812.181531230432</v>
      </c>
      <c r="D10" s="635">
        <f ca="1">tertiair!C16</f>
        <v>0</v>
      </c>
      <c r="E10" s="635">
        <f ca="1">tertiair!D16</f>
        <v>15044.331351211242</v>
      </c>
      <c r="F10" s="635">
        <f>tertiair!E16</f>
        <v>239.72713606322023</v>
      </c>
      <c r="G10" s="635">
        <f ca="1">tertiair!F16</f>
        <v>2307.3963986250519</v>
      </c>
      <c r="H10" s="635">
        <f>tertiair!G16</f>
        <v>0</v>
      </c>
      <c r="I10" s="635">
        <f>tertiair!H16</f>
        <v>0</v>
      </c>
      <c r="J10" s="635">
        <f>tertiair!I16</f>
        <v>0</v>
      </c>
      <c r="K10" s="635">
        <f>tertiair!J16</f>
        <v>0</v>
      </c>
      <c r="L10" s="635">
        <f>tertiair!K16</f>
        <v>0</v>
      </c>
      <c r="M10" s="635">
        <f ca="1">tertiair!L16</f>
        <v>0</v>
      </c>
      <c r="N10" s="635">
        <f>tertiair!M16</f>
        <v>0</v>
      </c>
      <c r="O10" s="635">
        <f ca="1">tertiair!N16</f>
        <v>289.46244062052301</v>
      </c>
      <c r="P10" s="635">
        <f>tertiair!O16</f>
        <v>1.5633333333333335</v>
      </c>
      <c r="Q10" s="636">
        <f>tertiair!P16</f>
        <v>0</v>
      </c>
      <c r="R10" s="638">
        <f ca="1">SUM(C10:Q10)</f>
        <v>31694.6621910838</v>
      </c>
      <c r="S10" s="67"/>
    </row>
    <row r="11" spans="1:19" s="441" customFormat="1">
      <c r="A11" s="749" t="s">
        <v>214</v>
      </c>
      <c r="B11" s="754"/>
      <c r="C11" s="635">
        <f>huishoudens!B8</f>
        <v>33839.883305450792</v>
      </c>
      <c r="D11" s="635">
        <f>huishoudens!C8</f>
        <v>0</v>
      </c>
      <c r="E11" s="635">
        <f>huishoudens!D8</f>
        <v>65147.079497428051</v>
      </c>
      <c r="F11" s="635">
        <f>huishoudens!E8</f>
        <v>1659.4648905308256</v>
      </c>
      <c r="G11" s="635">
        <f>huishoudens!F8</f>
        <v>56644.831126529709</v>
      </c>
      <c r="H11" s="635">
        <f>huishoudens!G8</f>
        <v>0</v>
      </c>
      <c r="I11" s="635">
        <f>huishoudens!H8</f>
        <v>0</v>
      </c>
      <c r="J11" s="635">
        <f>huishoudens!I8</f>
        <v>0</v>
      </c>
      <c r="K11" s="635">
        <f>huishoudens!J8</f>
        <v>1275.4979860551116</v>
      </c>
      <c r="L11" s="635">
        <f>huishoudens!K8</f>
        <v>0</v>
      </c>
      <c r="M11" s="635">
        <f>huishoudens!L8</f>
        <v>0</v>
      </c>
      <c r="N11" s="635">
        <f>huishoudens!M8</f>
        <v>0</v>
      </c>
      <c r="O11" s="635">
        <f>huishoudens!N8</f>
        <v>9299.7122646572388</v>
      </c>
      <c r="P11" s="635">
        <f>huishoudens!O8</f>
        <v>64.096666666666678</v>
      </c>
      <c r="Q11" s="636">
        <f>huishoudens!P8</f>
        <v>266.93333333333334</v>
      </c>
      <c r="R11" s="638">
        <f>SUM(C11:Q11)</f>
        <v>168197.49907065174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76774.689179184672</v>
      </c>
      <c r="D13" s="635">
        <f>industrie!C18</f>
        <v>0</v>
      </c>
      <c r="E13" s="635">
        <f>industrie!D18</f>
        <v>32913.659365031352</v>
      </c>
      <c r="F13" s="635">
        <f>industrie!E18</f>
        <v>713.64720741650797</v>
      </c>
      <c r="G13" s="635">
        <f>industrie!F18</f>
        <v>13308.336595857394</v>
      </c>
      <c r="H13" s="635">
        <f>industrie!G18</f>
        <v>0</v>
      </c>
      <c r="I13" s="635">
        <f>industrie!H18</f>
        <v>0</v>
      </c>
      <c r="J13" s="635">
        <f>industrie!I18</f>
        <v>0</v>
      </c>
      <c r="K13" s="635">
        <f>industrie!J18</f>
        <v>316.90029185304024</v>
      </c>
      <c r="L13" s="635">
        <f>industrie!K18</f>
        <v>0</v>
      </c>
      <c r="M13" s="635">
        <f>industrie!L18</f>
        <v>0</v>
      </c>
      <c r="N13" s="635">
        <f>industrie!M18</f>
        <v>0</v>
      </c>
      <c r="O13" s="635">
        <f>industrie!N18</f>
        <v>1207.720051750247</v>
      </c>
      <c r="P13" s="635">
        <f>industrie!O18</f>
        <v>0</v>
      </c>
      <c r="Q13" s="636">
        <f>industrie!P18</f>
        <v>0</v>
      </c>
      <c r="R13" s="638">
        <f>SUM(C13:Q13)</f>
        <v>125234.95269109322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124426.7540158659</v>
      </c>
      <c r="D16" s="668">
        <f t="shared" ref="D16:R16" ca="1" si="0">SUM(D9:D15)</f>
        <v>0</v>
      </c>
      <c r="E16" s="668">
        <f t="shared" ca="1" si="0"/>
        <v>113105.07021367064</v>
      </c>
      <c r="F16" s="668">
        <f t="shared" si="0"/>
        <v>2612.8392340105538</v>
      </c>
      <c r="G16" s="668">
        <f t="shared" ca="1" si="0"/>
        <v>72260.564121012154</v>
      </c>
      <c r="H16" s="668">
        <f t="shared" si="0"/>
        <v>0</v>
      </c>
      <c r="I16" s="668">
        <f t="shared" si="0"/>
        <v>0</v>
      </c>
      <c r="J16" s="668">
        <f t="shared" si="0"/>
        <v>0</v>
      </c>
      <c r="K16" s="668">
        <f t="shared" si="0"/>
        <v>1592.3982779081518</v>
      </c>
      <c r="L16" s="668">
        <f t="shared" si="0"/>
        <v>0</v>
      </c>
      <c r="M16" s="668">
        <f t="shared" ca="1" si="0"/>
        <v>0</v>
      </c>
      <c r="N16" s="668">
        <f t="shared" si="0"/>
        <v>0</v>
      </c>
      <c r="O16" s="668">
        <f t="shared" ca="1" si="0"/>
        <v>10796.894757028007</v>
      </c>
      <c r="P16" s="668">
        <f t="shared" si="0"/>
        <v>65.660000000000011</v>
      </c>
      <c r="Q16" s="668">
        <f t="shared" si="0"/>
        <v>266.93333333333334</v>
      </c>
      <c r="R16" s="668">
        <f t="shared" ca="1" si="0"/>
        <v>325127.11395282875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3.9226466147223968</v>
      </c>
      <c r="D19" s="635">
        <f>transport!C54</f>
        <v>0</v>
      </c>
      <c r="E19" s="635">
        <f>transport!D54</f>
        <v>0</v>
      </c>
      <c r="F19" s="635">
        <f>transport!E54</f>
        <v>0</v>
      </c>
      <c r="G19" s="635">
        <f>transport!F54</f>
        <v>0</v>
      </c>
      <c r="H19" s="635">
        <f>transport!G54</f>
        <v>850.97880024763822</v>
      </c>
      <c r="I19" s="635">
        <f>transport!H54</f>
        <v>0</v>
      </c>
      <c r="J19" s="635">
        <f>transport!I54</f>
        <v>0</v>
      </c>
      <c r="K19" s="635">
        <f>transport!J54</f>
        <v>0</v>
      </c>
      <c r="L19" s="635">
        <f>transport!K54</f>
        <v>0</v>
      </c>
      <c r="M19" s="635">
        <f>transport!L54</f>
        <v>0</v>
      </c>
      <c r="N19" s="635">
        <f>transport!M54</f>
        <v>36.435643405114803</v>
      </c>
      <c r="O19" s="635">
        <f>transport!N54</f>
        <v>0</v>
      </c>
      <c r="P19" s="635">
        <f>transport!O54</f>
        <v>0</v>
      </c>
      <c r="Q19" s="636">
        <f>transport!P54</f>
        <v>0</v>
      </c>
      <c r="R19" s="638">
        <f>SUM(C19:Q19)</f>
        <v>891.33709026747545</v>
      </c>
      <c r="S19" s="67"/>
    </row>
    <row r="20" spans="1:19" s="441" customFormat="1">
      <c r="A20" s="749" t="s">
        <v>296</v>
      </c>
      <c r="B20" s="754"/>
      <c r="C20" s="635">
        <f>transport!B14</f>
        <v>1.0773938254248003</v>
      </c>
      <c r="D20" s="635">
        <f>transport!C14</f>
        <v>0</v>
      </c>
      <c r="E20" s="635">
        <f>transport!D14</f>
        <v>4.7348936393909433</v>
      </c>
      <c r="F20" s="635">
        <f>transport!E14</f>
        <v>470.11070113922108</v>
      </c>
      <c r="G20" s="635">
        <f>transport!F14</f>
        <v>0</v>
      </c>
      <c r="H20" s="635">
        <f>transport!G14</f>
        <v>81437.388350457637</v>
      </c>
      <c r="I20" s="635">
        <f>transport!H14</f>
        <v>15801.432081757855</v>
      </c>
      <c r="J20" s="635">
        <f>transport!I14</f>
        <v>0</v>
      </c>
      <c r="K20" s="635">
        <f>transport!J14</f>
        <v>0</v>
      </c>
      <c r="L20" s="635">
        <f>transport!K14</f>
        <v>0</v>
      </c>
      <c r="M20" s="635">
        <f>transport!L14</f>
        <v>0</v>
      </c>
      <c r="N20" s="635">
        <f>transport!M14</f>
        <v>4235.5176378379201</v>
      </c>
      <c r="O20" s="635">
        <f>transport!N14</f>
        <v>0</v>
      </c>
      <c r="P20" s="635">
        <f>transport!O14</f>
        <v>0</v>
      </c>
      <c r="Q20" s="636">
        <f>transport!P14</f>
        <v>0</v>
      </c>
      <c r="R20" s="638">
        <f>SUM(C20:Q20)</f>
        <v>101950.26105865746</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5.0000404401471972</v>
      </c>
      <c r="D22" s="752">
        <f t="shared" ref="D22:R22" si="1">SUM(D18:D21)</f>
        <v>0</v>
      </c>
      <c r="E22" s="752">
        <f t="shared" si="1"/>
        <v>4.7348936393909433</v>
      </c>
      <c r="F22" s="752">
        <f t="shared" si="1"/>
        <v>470.11070113922108</v>
      </c>
      <c r="G22" s="752">
        <f t="shared" si="1"/>
        <v>0</v>
      </c>
      <c r="H22" s="752">
        <f t="shared" si="1"/>
        <v>82288.367150705279</v>
      </c>
      <c r="I22" s="752">
        <f t="shared" si="1"/>
        <v>15801.432081757855</v>
      </c>
      <c r="J22" s="752">
        <f t="shared" si="1"/>
        <v>0</v>
      </c>
      <c r="K22" s="752">
        <f t="shared" si="1"/>
        <v>0</v>
      </c>
      <c r="L22" s="752">
        <f t="shared" si="1"/>
        <v>0</v>
      </c>
      <c r="M22" s="752">
        <f t="shared" si="1"/>
        <v>0</v>
      </c>
      <c r="N22" s="752">
        <f t="shared" si="1"/>
        <v>4271.9532812430352</v>
      </c>
      <c r="O22" s="752">
        <f t="shared" si="1"/>
        <v>0</v>
      </c>
      <c r="P22" s="752">
        <f t="shared" si="1"/>
        <v>0</v>
      </c>
      <c r="Q22" s="752">
        <f t="shared" si="1"/>
        <v>0</v>
      </c>
      <c r="R22" s="752">
        <f t="shared" si="1"/>
        <v>102841.59814892494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1604.564579195581</v>
      </c>
      <c r="D24" s="635">
        <f>+landbouw!C8</f>
        <v>4050</v>
      </c>
      <c r="E24" s="635">
        <f>+landbouw!D8</f>
        <v>542.51974067003096</v>
      </c>
      <c r="F24" s="635">
        <f>+landbouw!E8</f>
        <v>14.459162871553101</v>
      </c>
      <c r="G24" s="635">
        <f>+landbouw!F8</f>
        <v>3762.3524158449991</v>
      </c>
      <c r="H24" s="635">
        <f>+landbouw!G8</f>
        <v>0</v>
      </c>
      <c r="I24" s="635">
        <f>+landbouw!H8</f>
        <v>0</v>
      </c>
      <c r="J24" s="635">
        <f>+landbouw!I8</f>
        <v>0</v>
      </c>
      <c r="K24" s="635">
        <f>+landbouw!J8</f>
        <v>162.37529912080024</v>
      </c>
      <c r="L24" s="635">
        <f>+landbouw!K8</f>
        <v>0</v>
      </c>
      <c r="M24" s="635">
        <f>+landbouw!L8</f>
        <v>0</v>
      </c>
      <c r="N24" s="635">
        <f>+landbouw!M8</f>
        <v>0</v>
      </c>
      <c r="O24" s="635">
        <f>+landbouw!N8</f>
        <v>0</v>
      </c>
      <c r="P24" s="635">
        <f>+landbouw!O8</f>
        <v>0</v>
      </c>
      <c r="Q24" s="636">
        <f>+landbouw!P8</f>
        <v>0</v>
      </c>
      <c r="R24" s="638">
        <f>SUM(C24:Q24)</f>
        <v>10136.271197702965</v>
      </c>
      <c r="S24" s="67"/>
    </row>
    <row r="25" spans="1:19" s="441" customFormat="1" ht="15" thickBot="1">
      <c r="A25" s="771" t="s">
        <v>864</v>
      </c>
      <c r="B25" s="923"/>
      <c r="C25" s="924">
        <f>IF(Onbekend_ele_kWh="---",0,Onbekend_ele_kWh)/1000+IF(REST_rest_ele_kWh="---",0,REST_rest_ele_kWh)/1000</f>
        <v>1726.3013740266401</v>
      </c>
      <c r="D25" s="924"/>
      <c r="E25" s="924">
        <f>IF(onbekend_gas_kWh="---",0,onbekend_gas_kWh)/1000+IF(REST_rest_gas_kWh="---",0,REST_rest_gas_kWh)/1000</f>
        <v>3200.3382972671502</v>
      </c>
      <c r="F25" s="924"/>
      <c r="G25" s="924"/>
      <c r="H25" s="924"/>
      <c r="I25" s="924"/>
      <c r="J25" s="924"/>
      <c r="K25" s="924"/>
      <c r="L25" s="924"/>
      <c r="M25" s="924"/>
      <c r="N25" s="924"/>
      <c r="O25" s="924"/>
      <c r="P25" s="924"/>
      <c r="Q25" s="925"/>
      <c r="R25" s="638">
        <f>SUM(C25:Q25)</f>
        <v>4926.6396712937903</v>
      </c>
      <c r="S25" s="67"/>
    </row>
    <row r="26" spans="1:19" s="441" customFormat="1" ht="15.75" thickBot="1">
      <c r="A26" s="641" t="s">
        <v>865</v>
      </c>
      <c r="B26" s="757"/>
      <c r="C26" s="752">
        <f>SUM(C24:C25)</f>
        <v>3330.8659532222209</v>
      </c>
      <c r="D26" s="752">
        <f t="shared" ref="D26:R26" si="2">SUM(D24:D25)</f>
        <v>4050</v>
      </c>
      <c r="E26" s="752">
        <f t="shared" si="2"/>
        <v>3742.8580379371811</v>
      </c>
      <c r="F26" s="752">
        <f t="shared" si="2"/>
        <v>14.459162871553101</v>
      </c>
      <c r="G26" s="752">
        <f t="shared" si="2"/>
        <v>3762.3524158449991</v>
      </c>
      <c r="H26" s="752">
        <f t="shared" si="2"/>
        <v>0</v>
      </c>
      <c r="I26" s="752">
        <f t="shared" si="2"/>
        <v>0</v>
      </c>
      <c r="J26" s="752">
        <f t="shared" si="2"/>
        <v>0</v>
      </c>
      <c r="K26" s="752">
        <f t="shared" si="2"/>
        <v>162.37529912080024</v>
      </c>
      <c r="L26" s="752">
        <f t="shared" si="2"/>
        <v>0</v>
      </c>
      <c r="M26" s="752">
        <f t="shared" si="2"/>
        <v>0</v>
      </c>
      <c r="N26" s="752">
        <f t="shared" si="2"/>
        <v>0</v>
      </c>
      <c r="O26" s="752">
        <f t="shared" si="2"/>
        <v>0</v>
      </c>
      <c r="P26" s="752">
        <f t="shared" si="2"/>
        <v>0</v>
      </c>
      <c r="Q26" s="752">
        <f t="shared" si="2"/>
        <v>0</v>
      </c>
      <c r="R26" s="752">
        <f t="shared" si="2"/>
        <v>15062.910868996754</v>
      </c>
      <c r="S26" s="67"/>
    </row>
    <row r="27" spans="1:19" s="441" customFormat="1" ht="17.25" thickTop="1" thickBot="1">
      <c r="A27" s="642" t="s">
        <v>109</v>
      </c>
      <c r="B27" s="744"/>
      <c r="C27" s="643">
        <f ca="1">C22+C16+C26</f>
        <v>127762.62000952827</v>
      </c>
      <c r="D27" s="643">
        <f t="shared" ref="D27:R27" ca="1" si="3">D22+D16+D26</f>
        <v>4050</v>
      </c>
      <c r="E27" s="643">
        <f t="shared" ca="1" si="3"/>
        <v>116852.66314524722</v>
      </c>
      <c r="F27" s="643">
        <f t="shared" si="3"/>
        <v>3097.4090980213277</v>
      </c>
      <c r="G27" s="643">
        <f t="shared" ca="1" si="3"/>
        <v>76022.916536857156</v>
      </c>
      <c r="H27" s="643">
        <f t="shared" si="3"/>
        <v>82288.367150705279</v>
      </c>
      <c r="I27" s="643">
        <f t="shared" si="3"/>
        <v>15801.432081757855</v>
      </c>
      <c r="J27" s="643">
        <f t="shared" si="3"/>
        <v>0</v>
      </c>
      <c r="K27" s="643">
        <f t="shared" si="3"/>
        <v>1754.7735770289521</v>
      </c>
      <c r="L27" s="643">
        <f t="shared" si="3"/>
        <v>0</v>
      </c>
      <c r="M27" s="643">
        <f t="shared" ca="1" si="3"/>
        <v>0</v>
      </c>
      <c r="N27" s="643">
        <f t="shared" si="3"/>
        <v>4271.9532812430352</v>
      </c>
      <c r="O27" s="643">
        <f t="shared" ca="1" si="3"/>
        <v>10796.894757028007</v>
      </c>
      <c r="P27" s="643">
        <f t="shared" si="3"/>
        <v>65.660000000000011</v>
      </c>
      <c r="Q27" s="643">
        <f t="shared" si="3"/>
        <v>266.93333333333334</v>
      </c>
      <c r="R27" s="643">
        <f t="shared" ca="1" si="3"/>
        <v>443031.62297075044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2951.4867761514743</v>
      </c>
      <c r="D40" s="635">
        <f ca="1">tertiair!C20</f>
        <v>0</v>
      </c>
      <c r="E40" s="635">
        <f ca="1">tertiair!D20</f>
        <v>3038.9549329446709</v>
      </c>
      <c r="F40" s="635">
        <f>tertiair!E20</f>
        <v>54.418059886350996</v>
      </c>
      <c r="G40" s="635">
        <f ca="1">tertiair!F20</f>
        <v>616.0748384328889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6660.9346074153855</v>
      </c>
    </row>
    <row r="41" spans="1:18">
      <c r="A41" s="762" t="s">
        <v>214</v>
      </c>
      <c r="B41" s="769"/>
      <c r="C41" s="635">
        <f ca="1">huishoudens!B12</f>
        <v>7231.1508400548528</v>
      </c>
      <c r="D41" s="635">
        <f ca="1">huishoudens!C12</f>
        <v>0</v>
      </c>
      <c r="E41" s="635">
        <f>huishoudens!D12</f>
        <v>13159.710058480467</v>
      </c>
      <c r="F41" s="635">
        <f>huishoudens!E12</f>
        <v>376.69853015049745</v>
      </c>
      <c r="G41" s="635">
        <f>huishoudens!F12</f>
        <v>15124.169910783434</v>
      </c>
      <c r="H41" s="635">
        <f>huishoudens!G12</f>
        <v>0</v>
      </c>
      <c r="I41" s="635">
        <f>huishoudens!H12</f>
        <v>0</v>
      </c>
      <c r="J41" s="635">
        <f>huishoudens!I12</f>
        <v>0</v>
      </c>
      <c r="K41" s="635">
        <f>huishoudens!J12</f>
        <v>451.52628706350947</v>
      </c>
      <c r="L41" s="635">
        <f>huishoudens!K12</f>
        <v>0</v>
      </c>
      <c r="M41" s="635">
        <f>huishoudens!L12</f>
        <v>0</v>
      </c>
      <c r="N41" s="635">
        <f>huishoudens!M12</f>
        <v>0</v>
      </c>
      <c r="O41" s="635">
        <f>huishoudens!N12</f>
        <v>0</v>
      </c>
      <c r="P41" s="635">
        <f>huishoudens!O12</f>
        <v>0</v>
      </c>
      <c r="Q41" s="710">
        <f>huishoudens!P12</f>
        <v>0</v>
      </c>
      <c r="R41" s="790">
        <f t="shared" ca="1" si="4"/>
        <v>36343.255626532766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16405.770467405455</v>
      </c>
      <c r="D43" s="635">
        <f ca="1">industrie!C22</f>
        <v>0</v>
      </c>
      <c r="E43" s="635">
        <f>industrie!D22</f>
        <v>6648.5591917363336</v>
      </c>
      <c r="F43" s="635">
        <f>industrie!E22</f>
        <v>161.99791608354732</v>
      </c>
      <c r="G43" s="635">
        <f>industrie!F22</f>
        <v>3553.3258710939244</v>
      </c>
      <c r="H43" s="635">
        <f>industrie!G22</f>
        <v>0</v>
      </c>
      <c r="I43" s="635">
        <f>industrie!H22</f>
        <v>0</v>
      </c>
      <c r="J43" s="635">
        <f>industrie!I22</f>
        <v>0</v>
      </c>
      <c r="K43" s="635">
        <f>industrie!J22</f>
        <v>112.18270331597624</v>
      </c>
      <c r="L43" s="635">
        <f>industrie!K22</f>
        <v>0</v>
      </c>
      <c r="M43" s="635">
        <f>industrie!L22</f>
        <v>0</v>
      </c>
      <c r="N43" s="635">
        <f>industrie!M22</f>
        <v>0</v>
      </c>
      <c r="O43" s="635">
        <f>industrie!N22</f>
        <v>0</v>
      </c>
      <c r="P43" s="635">
        <f>industrie!O22</f>
        <v>0</v>
      </c>
      <c r="Q43" s="710">
        <f>industrie!P22</f>
        <v>0</v>
      </c>
      <c r="R43" s="789">
        <f t="shared" ca="1" si="4"/>
        <v>26881.836149635234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26588.408083611783</v>
      </c>
      <c r="D46" s="668">
        <f t="shared" ref="D46:Q46" ca="1" si="5">SUM(D39:D45)</f>
        <v>0</v>
      </c>
      <c r="E46" s="668">
        <f t="shared" ca="1" si="5"/>
        <v>22847.22418316147</v>
      </c>
      <c r="F46" s="668">
        <f t="shared" si="5"/>
        <v>593.11450612039573</v>
      </c>
      <c r="G46" s="668">
        <f t="shared" ca="1" si="5"/>
        <v>19293.570620310245</v>
      </c>
      <c r="H46" s="668">
        <f t="shared" si="5"/>
        <v>0</v>
      </c>
      <c r="I46" s="668">
        <f t="shared" si="5"/>
        <v>0</v>
      </c>
      <c r="J46" s="668">
        <f t="shared" si="5"/>
        <v>0</v>
      </c>
      <c r="K46" s="668">
        <f t="shared" si="5"/>
        <v>563.70899037948573</v>
      </c>
      <c r="L46" s="668">
        <f t="shared" si="5"/>
        <v>0</v>
      </c>
      <c r="M46" s="668">
        <f t="shared" ca="1" si="5"/>
        <v>0</v>
      </c>
      <c r="N46" s="668">
        <f t="shared" si="5"/>
        <v>0</v>
      </c>
      <c r="O46" s="668">
        <f t="shared" ca="1" si="5"/>
        <v>0</v>
      </c>
      <c r="P46" s="668">
        <f t="shared" si="5"/>
        <v>0</v>
      </c>
      <c r="Q46" s="668">
        <f t="shared" si="5"/>
        <v>0</v>
      </c>
      <c r="R46" s="668">
        <f ca="1">SUM(R39:R45)</f>
        <v>69886.02638358339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0.83821947928287399</v>
      </c>
      <c r="D49" s="635">
        <f ca="1">transport!C58</f>
        <v>0</v>
      </c>
      <c r="E49" s="635">
        <f>transport!D58</f>
        <v>0</v>
      </c>
      <c r="F49" s="635">
        <f>transport!E58</f>
        <v>0</v>
      </c>
      <c r="G49" s="635">
        <f>transport!F58</f>
        <v>0</v>
      </c>
      <c r="H49" s="635">
        <f>transport!G58</f>
        <v>227.21133966611941</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228.0495591454023</v>
      </c>
    </row>
    <row r="50" spans="1:18">
      <c r="A50" s="765" t="s">
        <v>296</v>
      </c>
      <c r="B50" s="775"/>
      <c r="C50" s="930">
        <f ca="1">transport!B18</f>
        <v>0.2302252994039003</v>
      </c>
      <c r="D50" s="930">
        <f>transport!C18</f>
        <v>0</v>
      </c>
      <c r="E50" s="930">
        <f>transport!D18</f>
        <v>0.9564485151569706</v>
      </c>
      <c r="F50" s="930">
        <f>transport!E18</f>
        <v>106.71512915860319</v>
      </c>
      <c r="G50" s="930">
        <f>transport!F18</f>
        <v>0</v>
      </c>
      <c r="H50" s="930">
        <f>transport!G18</f>
        <v>21743.782689572192</v>
      </c>
      <c r="I50" s="930">
        <f>transport!H18</f>
        <v>3934.556588357706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25786.241080903063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1.0684447786867743</v>
      </c>
      <c r="D52" s="668">
        <f t="shared" ref="D52:Q52" ca="1" si="6">SUM(D48:D51)</f>
        <v>0</v>
      </c>
      <c r="E52" s="668">
        <f t="shared" si="6"/>
        <v>0.9564485151569706</v>
      </c>
      <c r="F52" s="668">
        <f t="shared" si="6"/>
        <v>106.71512915860319</v>
      </c>
      <c r="G52" s="668">
        <f t="shared" si="6"/>
        <v>0</v>
      </c>
      <c r="H52" s="668">
        <f t="shared" si="6"/>
        <v>21970.994029238311</v>
      </c>
      <c r="I52" s="668">
        <f t="shared" si="6"/>
        <v>3934.556588357706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26014.290640048464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342.87495615871251</v>
      </c>
      <c r="D54" s="930">
        <f ca="1">+landbouw!C12</f>
        <v>318.04411764705884</v>
      </c>
      <c r="E54" s="930">
        <f>+landbouw!D12</f>
        <v>109.58898761534626</v>
      </c>
      <c r="F54" s="930">
        <f>+landbouw!E12</f>
        <v>3.2822299718425541</v>
      </c>
      <c r="G54" s="930">
        <f>+landbouw!F12</f>
        <v>1004.5480950306148</v>
      </c>
      <c r="H54" s="930">
        <f>+landbouw!G12</f>
        <v>0</v>
      </c>
      <c r="I54" s="930">
        <f>+landbouw!H12</f>
        <v>0</v>
      </c>
      <c r="J54" s="930">
        <f>+landbouw!I12</f>
        <v>0</v>
      </c>
      <c r="K54" s="930">
        <f>+landbouw!J12</f>
        <v>57.48085588876328</v>
      </c>
      <c r="L54" s="930">
        <f>+landbouw!K12</f>
        <v>0</v>
      </c>
      <c r="M54" s="930">
        <f>+landbouw!L12</f>
        <v>0</v>
      </c>
      <c r="N54" s="930">
        <f>+landbouw!M12</f>
        <v>0</v>
      </c>
      <c r="O54" s="930">
        <f>+landbouw!N12</f>
        <v>0</v>
      </c>
      <c r="P54" s="930">
        <f>+landbouw!O12</f>
        <v>0</v>
      </c>
      <c r="Q54" s="931">
        <f>+landbouw!P12</f>
        <v>0</v>
      </c>
      <c r="R54" s="667">
        <f ca="1">SUM(C54:Q54)</f>
        <v>1835.8192423123382</v>
      </c>
    </row>
    <row r="55" spans="1:18" ht="15" thickBot="1">
      <c r="A55" s="765" t="s">
        <v>864</v>
      </c>
      <c r="B55" s="775"/>
      <c r="C55" s="930">
        <f ca="1">C25*'EF ele_warmte'!B12</f>
        <v>368.88855432222635</v>
      </c>
      <c r="D55" s="930"/>
      <c r="E55" s="930">
        <f>E25*EF_CO2_aardgas</f>
        <v>646.46833604796439</v>
      </c>
      <c r="F55" s="930"/>
      <c r="G55" s="930"/>
      <c r="H55" s="930"/>
      <c r="I55" s="930"/>
      <c r="J55" s="930"/>
      <c r="K55" s="930"/>
      <c r="L55" s="930"/>
      <c r="M55" s="930"/>
      <c r="N55" s="930"/>
      <c r="O55" s="930"/>
      <c r="P55" s="930"/>
      <c r="Q55" s="931"/>
      <c r="R55" s="667">
        <f ca="1">SUM(C55:Q55)</f>
        <v>1015.3568903701907</v>
      </c>
    </row>
    <row r="56" spans="1:18" ht="15.75" thickBot="1">
      <c r="A56" s="763" t="s">
        <v>865</v>
      </c>
      <c r="B56" s="776"/>
      <c r="C56" s="668">
        <f ca="1">SUM(C54:C55)</f>
        <v>711.76351048093886</v>
      </c>
      <c r="D56" s="668">
        <f t="shared" ref="D56:Q56" ca="1" si="7">SUM(D54:D55)</f>
        <v>318.04411764705884</v>
      </c>
      <c r="E56" s="668">
        <f t="shared" si="7"/>
        <v>756.05732366331063</v>
      </c>
      <c r="F56" s="668">
        <f t="shared" si="7"/>
        <v>3.2822299718425541</v>
      </c>
      <c r="G56" s="668">
        <f t="shared" si="7"/>
        <v>1004.5480950306148</v>
      </c>
      <c r="H56" s="668">
        <f t="shared" si="7"/>
        <v>0</v>
      </c>
      <c r="I56" s="668">
        <f t="shared" si="7"/>
        <v>0</v>
      </c>
      <c r="J56" s="668">
        <f t="shared" si="7"/>
        <v>0</v>
      </c>
      <c r="K56" s="668">
        <f t="shared" si="7"/>
        <v>57.48085588876328</v>
      </c>
      <c r="L56" s="668">
        <f t="shared" si="7"/>
        <v>0</v>
      </c>
      <c r="M56" s="668">
        <f t="shared" si="7"/>
        <v>0</v>
      </c>
      <c r="N56" s="668">
        <f t="shared" si="7"/>
        <v>0</v>
      </c>
      <c r="O56" s="668">
        <f t="shared" si="7"/>
        <v>0</v>
      </c>
      <c r="P56" s="668">
        <f t="shared" si="7"/>
        <v>0</v>
      </c>
      <c r="Q56" s="669">
        <f t="shared" si="7"/>
        <v>0</v>
      </c>
      <c r="R56" s="670">
        <f ca="1">SUM(R54:R55)</f>
        <v>2851.176132682529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27301.240038871409</v>
      </c>
      <c r="D61" s="676">
        <f t="shared" ref="D61:Q61" ca="1" si="8">D46+D52+D56</f>
        <v>318.04411764705884</v>
      </c>
      <c r="E61" s="676">
        <f t="shared" ca="1" si="8"/>
        <v>23604.237955339937</v>
      </c>
      <c r="F61" s="676">
        <f t="shared" si="8"/>
        <v>703.11186525084145</v>
      </c>
      <c r="G61" s="676">
        <f t="shared" ca="1" si="8"/>
        <v>20298.118715340861</v>
      </c>
      <c r="H61" s="676">
        <f t="shared" si="8"/>
        <v>21970.994029238311</v>
      </c>
      <c r="I61" s="676">
        <f t="shared" si="8"/>
        <v>3934.556588357706</v>
      </c>
      <c r="J61" s="676">
        <f t="shared" si="8"/>
        <v>0</v>
      </c>
      <c r="K61" s="676">
        <f t="shared" si="8"/>
        <v>621.18984626824897</v>
      </c>
      <c r="L61" s="676">
        <f t="shared" si="8"/>
        <v>0</v>
      </c>
      <c r="M61" s="676">
        <f t="shared" ca="1" si="8"/>
        <v>0</v>
      </c>
      <c r="N61" s="676">
        <f t="shared" si="8"/>
        <v>0</v>
      </c>
      <c r="O61" s="676">
        <f t="shared" ca="1" si="8"/>
        <v>0</v>
      </c>
      <c r="P61" s="676">
        <f t="shared" si="8"/>
        <v>0</v>
      </c>
      <c r="Q61" s="676">
        <f t="shared" si="8"/>
        <v>0</v>
      </c>
      <c r="R61" s="676">
        <f ca="1">R46+R52+R56</f>
        <v>98751.493156314391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0.21368722742876858</v>
      </c>
      <c r="D63" s="720">
        <f t="shared" ca="1" si="9"/>
        <v>7.8529411764705889E-2</v>
      </c>
      <c r="E63" s="932">
        <f t="shared" ca="1" si="9"/>
        <v>0.20199999999999999</v>
      </c>
      <c r="F63" s="720">
        <f t="shared" si="9"/>
        <v>0.22700000000000001</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1906.809346548775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2700</v>
      </c>
      <c r="C76" s="686">
        <f>'lokale energieproductie'!B8*IFERROR(SUM(D76:H76)/SUM(D76:O76),0)</f>
        <v>900</v>
      </c>
      <c r="D76" s="942">
        <f>'lokale energieproductie'!C8</f>
        <v>0</v>
      </c>
      <c r="E76" s="943">
        <f>'lokale energieproductie'!D8</f>
        <v>0</v>
      </c>
      <c r="F76" s="943">
        <f>'lokale energieproductie'!E8</f>
        <v>1058.8235294117646</v>
      </c>
      <c r="G76" s="943">
        <f>'lokale energieproductie'!F8</f>
        <v>0</v>
      </c>
      <c r="H76" s="943">
        <f>'lokale energieproductie'!G8</f>
        <v>0</v>
      </c>
      <c r="I76" s="943">
        <f>'lokale energieproductie'!I8</f>
        <v>3176.4705882352941</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282.70588235294116</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4606.8093465487746</v>
      </c>
      <c r="C78" s="691">
        <f>SUM(C72:C77)</f>
        <v>900</v>
      </c>
      <c r="D78" s="692">
        <f t="shared" ref="D78:H78" si="10">SUM(D76:D77)</f>
        <v>0</v>
      </c>
      <c r="E78" s="692">
        <f t="shared" si="10"/>
        <v>0</v>
      </c>
      <c r="F78" s="692">
        <f t="shared" si="10"/>
        <v>1058.8235294117646</v>
      </c>
      <c r="G78" s="692">
        <f t="shared" si="10"/>
        <v>0</v>
      </c>
      <c r="H78" s="692">
        <f t="shared" si="10"/>
        <v>0</v>
      </c>
      <c r="I78" s="692">
        <f>SUM(I76:I77)</f>
        <v>3176.4705882352941</v>
      </c>
      <c r="J78" s="692">
        <f>SUM(J76:J77)</f>
        <v>0</v>
      </c>
      <c r="K78" s="692">
        <f t="shared" ref="K78:L78" si="11">SUM(K76:K77)</f>
        <v>0</v>
      </c>
      <c r="L78" s="692">
        <f t="shared" si="11"/>
        <v>0</v>
      </c>
      <c r="M78" s="692">
        <f>SUM(M76:M77)</f>
        <v>0</v>
      </c>
      <c r="N78" s="692">
        <f>SUM(N76:N77)</f>
        <v>0</v>
      </c>
      <c r="O78" s="800">
        <f>SUM(O76:O77)</f>
        <v>0</v>
      </c>
      <c r="P78" s="693">
        <v>0</v>
      </c>
      <c r="Q78" s="693">
        <f>SUM(Q76:Q77)</f>
        <v>282.70588235294116</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3037.5</v>
      </c>
      <c r="C87" s="702">
        <f>'lokale energieproductie'!B17*IFERROR(SUM(D87:H87)/SUM(D87:O87),0)</f>
        <v>1012.5</v>
      </c>
      <c r="D87" s="713">
        <f>'lokale energieproductie'!C17</f>
        <v>0</v>
      </c>
      <c r="E87" s="713">
        <f>'lokale energieproductie'!D17</f>
        <v>0</v>
      </c>
      <c r="F87" s="713">
        <f>'lokale energieproductie'!E17</f>
        <v>1191.1764705882354</v>
      </c>
      <c r="G87" s="713">
        <f>'lokale energieproductie'!F17</f>
        <v>0</v>
      </c>
      <c r="H87" s="713">
        <f>'lokale energieproductie'!G17</f>
        <v>0</v>
      </c>
      <c r="I87" s="713">
        <f>'lokale energieproductie'!I17</f>
        <v>3573.5294117647059</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318.04411764705884</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3037.5</v>
      </c>
      <c r="C90" s="691">
        <f>SUM(C87:C89)</f>
        <v>1012.5</v>
      </c>
      <c r="D90" s="691">
        <f t="shared" ref="D90:H90" si="12">SUM(D87:D89)</f>
        <v>0</v>
      </c>
      <c r="E90" s="691">
        <f t="shared" si="12"/>
        <v>0</v>
      </c>
      <c r="F90" s="691">
        <f t="shared" si="12"/>
        <v>1191.1764705882354</v>
      </c>
      <c r="G90" s="691">
        <f t="shared" si="12"/>
        <v>0</v>
      </c>
      <c r="H90" s="691">
        <f t="shared" si="12"/>
        <v>0</v>
      </c>
      <c r="I90" s="691">
        <f>SUM(I87:I89)</f>
        <v>3573.5294117647059</v>
      </c>
      <c r="J90" s="691">
        <f>SUM(J87:J89)</f>
        <v>0</v>
      </c>
      <c r="K90" s="691">
        <f t="shared" ref="K90:L90" si="13">SUM(K87:K89)</f>
        <v>0</v>
      </c>
      <c r="L90" s="691">
        <f t="shared" si="13"/>
        <v>0</v>
      </c>
      <c r="M90" s="691">
        <f>SUM(M87:M89)</f>
        <v>0</v>
      </c>
      <c r="N90" s="691">
        <f>SUM(N87:N89)</f>
        <v>0</v>
      </c>
      <c r="O90" s="691">
        <f>SUM(O87:O89)</f>
        <v>0</v>
      </c>
      <c r="P90" s="691">
        <v>0</v>
      </c>
      <c r="Q90" s="691">
        <f>SUM(Q87:Q89)</f>
        <v>318.04411764705884</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33839.883305450792</v>
      </c>
      <c r="C4" s="445">
        <f>huishoudens!C8</f>
        <v>0</v>
      </c>
      <c r="D4" s="445">
        <f>huishoudens!D8</f>
        <v>65147.079497428051</v>
      </c>
      <c r="E4" s="445">
        <f>huishoudens!E8</f>
        <v>1659.4648905308256</v>
      </c>
      <c r="F4" s="445">
        <f>huishoudens!F8</f>
        <v>56644.831126529709</v>
      </c>
      <c r="G4" s="445">
        <f>huishoudens!G8</f>
        <v>0</v>
      </c>
      <c r="H4" s="445">
        <f>huishoudens!H8</f>
        <v>0</v>
      </c>
      <c r="I4" s="445">
        <f>huishoudens!I8</f>
        <v>0</v>
      </c>
      <c r="J4" s="445">
        <f>huishoudens!J8</f>
        <v>1275.4979860551116</v>
      </c>
      <c r="K4" s="445">
        <f>huishoudens!K8</f>
        <v>0</v>
      </c>
      <c r="L4" s="445">
        <f>huishoudens!L8</f>
        <v>0</v>
      </c>
      <c r="M4" s="445">
        <f>huishoudens!M8</f>
        <v>0</v>
      </c>
      <c r="N4" s="445">
        <f>huishoudens!N8</f>
        <v>9299.7122646572388</v>
      </c>
      <c r="O4" s="445">
        <f>huishoudens!O8</f>
        <v>64.096666666666678</v>
      </c>
      <c r="P4" s="446">
        <f>huishoudens!P8</f>
        <v>266.93333333333334</v>
      </c>
      <c r="Q4" s="447">
        <f>SUM(B4:P4)</f>
        <v>168197.49907065174</v>
      </c>
    </row>
    <row r="5" spans="1:17">
      <c r="A5" s="444" t="s">
        <v>149</v>
      </c>
      <c r="B5" s="445">
        <f ca="1">tertiair!B16</f>
        <v>12730.509531230431</v>
      </c>
      <c r="C5" s="445">
        <f ca="1">tertiair!C16</f>
        <v>0</v>
      </c>
      <c r="D5" s="445">
        <f ca="1">tertiair!D16</f>
        <v>15044.331351211242</v>
      </c>
      <c r="E5" s="445">
        <f>tertiair!E16</f>
        <v>239.72713606322023</v>
      </c>
      <c r="F5" s="445">
        <f ca="1">tertiair!F16</f>
        <v>2307.3963986250519</v>
      </c>
      <c r="G5" s="445">
        <f>tertiair!G16</f>
        <v>0</v>
      </c>
      <c r="H5" s="445">
        <f>tertiair!H16</f>
        <v>0</v>
      </c>
      <c r="I5" s="445">
        <f>tertiair!I16</f>
        <v>0</v>
      </c>
      <c r="J5" s="445">
        <f>tertiair!J16</f>
        <v>0</v>
      </c>
      <c r="K5" s="445">
        <f>tertiair!K16</f>
        <v>0</v>
      </c>
      <c r="L5" s="445">
        <f ca="1">tertiair!L16</f>
        <v>0</v>
      </c>
      <c r="M5" s="445">
        <f>tertiair!M16</f>
        <v>0</v>
      </c>
      <c r="N5" s="445">
        <f ca="1">tertiair!N16</f>
        <v>289.46244062052301</v>
      </c>
      <c r="O5" s="445">
        <f>tertiair!O16</f>
        <v>1.5633333333333335</v>
      </c>
      <c r="P5" s="446">
        <f>tertiair!P16</f>
        <v>0</v>
      </c>
      <c r="Q5" s="444">
        <f t="shared" ref="Q5:Q14" ca="1" si="0">SUM(B5:P5)</f>
        <v>30612.990191083798</v>
      </c>
    </row>
    <row r="6" spans="1:17">
      <c r="A6" s="444" t="s">
        <v>187</v>
      </c>
      <c r="B6" s="445">
        <f>'openbare verlichting'!B8</f>
        <v>1081.672</v>
      </c>
      <c r="C6" s="445"/>
      <c r="D6" s="445"/>
      <c r="E6" s="445"/>
      <c r="F6" s="445"/>
      <c r="G6" s="445"/>
      <c r="H6" s="445"/>
      <c r="I6" s="445"/>
      <c r="J6" s="445"/>
      <c r="K6" s="445"/>
      <c r="L6" s="445"/>
      <c r="M6" s="445"/>
      <c r="N6" s="445"/>
      <c r="O6" s="445"/>
      <c r="P6" s="446"/>
      <c r="Q6" s="444">
        <f t="shared" si="0"/>
        <v>1081.672</v>
      </c>
    </row>
    <row r="7" spans="1:17">
      <c r="A7" s="444" t="s">
        <v>105</v>
      </c>
      <c r="B7" s="445">
        <f>landbouw!B8</f>
        <v>1604.564579195581</v>
      </c>
      <c r="C7" s="445">
        <f>landbouw!C8</f>
        <v>4050</v>
      </c>
      <c r="D7" s="445">
        <f>landbouw!D8</f>
        <v>542.51974067003096</v>
      </c>
      <c r="E7" s="445">
        <f>landbouw!E8</f>
        <v>14.459162871553101</v>
      </c>
      <c r="F7" s="445">
        <f>landbouw!F8</f>
        <v>3762.3524158449991</v>
      </c>
      <c r="G7" s="445">
        <f>landbouw!G8</f>
        <v>0</v>
      </c>
      <c r="H7" s="445">
        <f>landbouw!H8</f>
        <v>0</v>
      </c>
      <c r="I7" s="445">
        <f>landbouw!I8</f>
        <v>0</v>
      </c>
      <c r="J7" s="445">
        <f>landbouw!J8</f>
        <v>162.37529912080024</v>
      </c>
      <c r="K7" s="445">
        <f>landbouw!K8</f>
        <v>0</v>
      </c>
      <c r="L7" s="445">
        <f>landbouw!L8</f>
        <v>0</v>
      </c>
      <c r="M7" s="445">
        <f>landbouw!M8</f>
        <v>0</v>
      </c>
      <c r="N7" s="445">
        <f>landbouw!N8</f>
        <v>0</v>
      </c>
      <c r="O7" s="445">
        <f>landbouw!O8</f>
        <v>0</v>
      </c>
      <c r="P7" s="446">
        <f>landbouw!P8</f>
        <v>0</v>
      </c>
      <c r="Q7" s="444">
        <f t="shared" si="0"/>
        <v>10136.271197702965</v>
      </c>
    </row>
    <row r="8" spans="1:17">
      <c r="A8" s="444" t="s">
        <v>613</v>
      </c>
      <c r="B8" s="445">
        <f>industrie!B18</f>
        <v>76774.689179184672</v>
      </c>
      <c r="C8" s="445">
        <f>industrie!C18</f>
        <v>0</v>
      </c>
      <c r="D8" s="445">
        <f>industrie!D18</f>
        <v>32913.659365031352</v>
      </c>
      <c r="E8" s="445">
        <f>industrie!E18</f>
        <v>713.64720741650797</v>
      </c>
      <c r="F8" s="445">
        <f>industrie!F18</f>
        <v>13308.336595857394</v>
      </c>
      <c r="G8" s="445">
        <f>industrie!G18</f>
        <v>0</v>
      </c>
      <c r="H8" s="445">
        <f>industrie!H18</f>
        <v>0</v>
      </c>
      <c r="I8" s="445">
        <f>industrie!I18</f>
        <v>0</v>
      </c>
      <c r="J8" s="445">
        <f>industrie!J18</f>
        <v>316.90029185304024</v>
      </c>
      <c r="K8" s="445">
        <f>industrie!K18</f>
        <v>0</v>
      </c>
      <c r="L8" s="445">
        <f>industrie!L18</f>
        <v>0</v>
      </c>
      <c r="M8" s="445">
        <f>industrie!M18</f>
        <v>0</v>
      </c>
      <c r="N8" s="445">
        <f>industrie!N18</f>
        <v>1207.720051750247</v>
      </c>
      <c r="O8" s="445">
        <f>industrie!O18</f>
        <v>0</v>
      </c>
      <c r="P8" s="446">
        <f>industrie!P18</f>
        <v>0</v>
      </c>
      <c r="Q8" s="444">
        <f t="shared" si="0"/>
        <v>125234.95269109322</v>
      </c>
    </row>
    <row r="9" spans="1:17" s="450" customFormat="1">
      <c r="A9" s="448" t="s">
        <v>555</v>
      </c>
      <c r="B9" s="449">
        <f>transport!B14</f>
        <v>1.0773938254248003</v>
      </c>
      <c r="C9" s="449">
        <f>transport!C14</f>
        <v>0</v>
      </c>
      <c r="D9" s="449">
        <f>transport!D14</f>
        <v>4.7348936393909433</v>
      </c>
      <c r="E9" s="449">
        <f>transport!E14</f>
        <v>470.11070113922108</v>
      </c>
      <c r="F9" s="449">
        <f>transport!F14</f>
        <v>0</v>
      </c>
      <c r="G9" s="449">
        <f>transport!G14</f>
        <v>81437.388350457637</v>
      </c>
      <c r="H9" s="449">
        <f>transport!H14</f>
        <v>15801.432081757855</v>
      </c>
      <c r="I9" s="449">
        <f>transport!I14</f>
        <v>0</v>
      </c>
      <c r="J9" s="449">
        <f>transport!J14</f>
        <v>0</v>
      </c>
      <c r="K9" s="449">
        <f>transport!K14</f>
        <v>0</v>
      </c>
      <c r="L9" s="449">
        <f>transport!L14</f>
        <v>0</v>
      </c>
      <c r="M9" s="449">
        <f>transport!M14</f>
        <v>4235.5176378379201</v>
      </c>
      <c r="N9" s="449">
        <f>transport!N14</f>
        <v>0</v>
      </c>
      <c r="O9" s="449">
        <f>transport!O14</f>
        <v>0</v>
      </c>
      <c r="P9" s="449">
        <f>transport!P14</f>
        <v>0</v>
      </c>
      <c r="Q9" s="448">
        <f>SUM(B9:P9)</f>
        <v>101950.26105865746</v>
      </c>
    </row>
    <row r="10" spans="1:17">
      <c r="A10" s="444" t="s">
        <v>545</v>
      </c>
      <c r="B10" s="445">
        <f>transport!B54</f>
        <v>3.9226466147223968</v>
      </c>
      <c r="C10" s="445">
        <f>transport!C54</f>
        <v>0</v>
      </c>
      <c r="D10" s="445">
        <f>transport!D54</f>
        <v>0</v>
      </c>
      <c r="E10" s="445">
        <f>transport!E54</f>
        <v>0</v>
      </c>
      <c r="F10" s="445">
        <f>transport!F54</f>
        <v>0</v>
      </c>
      <c r="G10" s="445">
        <f>transport!G54</f>
        <v>850.97880024763822</v>
      </c>
      <c r="H10" s="445">
        <f>transport!H54</f>
        <v>0</v>
      </c>
      <c r="I10" s="445">
        <f>transport!I54</f>
        <v>0</v>
      </c>
      <c r="J10" s="445">
        <f>transport!J54</f>
        <v>0</v>
      </c>
      <c r="K10" s="445">
        <f>transport!K54</f>
        <v>0</v>
      </c>
      <c r="L10" s="445">
        <f>transport!L54</f>
        <v>0</v>
      </c>
      <c r="M10" s="445">
        <f>transport!M54</f>
        <v>36.435643405114803</v>
      </c>
      <c r="N10" s="445">
        <f>transport!N54</f>
        <v>0</v>
      </c>
      <c r="O10" s="445">
        <f>transport!O54</f>
        <v>0</v>
      </c>
      <c r="P10" s="446">
        <f>transport!P54</f>
        <v>0</v>
      </c>
      <c r="Q10" s="444">
        <f t="shared" si="0"/>
        <v>891.33709026747545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1726.3013740266401</v>
      </c>
      <c r="C14" s="452"/>
      <c r="D14" s="452">
        <f>'SEAP template'!E25</f>
        <v>3200.3382972671502</v>
      </c>
      <c r="E14" s="452"/>
      <c r="F14" s="452"/>
      <c r="G14" s="452"/>
      <c r="H14" s="452"/>
      <c r="I14" s="452"/>
      <c r="J14" s="452"/>
      <c r="K14" s="452"/>
      <c r="L14" s="452"/>
      <c r="M14" s="452"/>
      <c r="N14" s="452"/>
      <c r="O14" s="452"/>
      <c r="P14" s="453"/>
      <c r="Q14" s="444">
        <f t="shared" si="0"/>
        <v>4926.6396712937903</v>
      </c>
    </row>
    <row r="15" spans="1:17" s="457" customFormat="1">
      <c r="A15" s="454" t="s">
        <v>549</v>
      </c>
      <c r="B15" s="455">
        <f ca="1">SUM(B4:B14)</f>
        <v>127762.62000952828</v>
      </c>
      <c r="C15" s="455">
        <f t="shared" ref="C15:Q15" ca="1" si="1">SUM(C4:C14)</f>
        <v>4050</v>
      </c>
      <c r="D15" s="455">
        <f t="shared" ca="1" si="1"/>
        <v>116852.66314524724</v>
      </c>
      <c r="E15" s="455">
        <f t="shared" si="1"/>
        <v>3097.4090980213282</v>
      </c>
      <c r="F15" s="455">
        <f t="shared" ca="1" si="1"/>
        <v>76022.916536857156</v>
      </c>
      <c r="G15" s="455">
        <f t="shared" si="1"/>
        <v>82288.367150705279</v>
      </c>
      <c r="H15" s="455">
        <f t="shared" si="1"/>
        <v>15801.432081757855</v>
      </c>
      <c r="I15" s="455">
        <f t="shared" si="1"/>
        <v>0</v>
      </c>
      <c r="J15" s="455">
        <f t="shared" si="1"/>
        <v>1754.7735770289521</v>
      </c>
      <c r="K15" s="455">
        <f t="shared" si="1"/>
        <v>0</v>
      </c>
      <c r="L15" s="455">
        <f t="shared" ca="1" si="1"/>
        <v>0</v>
      </c>
      <c r="M15" s="455">
        <f t="shared" si="1"/>
        <v>4271.9532812430352</v>
      </c>
      <c r="N15" s="455">
        <f t="shared" ca="1" si="1"/>
        <v>10796.894757028007</v>
      </c>
      <c r="O15" s="455">
        <f t="shared" si="1"/>
        <v>65.660000000000011</v>
      </c>
      <c r="P15" s="455">
        <f t="shared" si="1"/>
        <v>266.93333333333334</v>
      </c>
      <c r="Q15" s="455">
        <f t="shared" ca="1" si="1"/>
        <v>443031.62297075044</v>
      </c>
    </row>
    <row r="17" spans="1:17">
      <c r="A17" s="458" t="s">
        <v>550</v>
      </c>
      <c r="B17" s="725">
        <f ca="1">huishoudens!B10</f>
        <v>0.21368722742876858</v>
      </c>
      <c r="C17" s="725">
        <f ca="1">huishoudens!C10</f>
        <v>7.8529411764705889E-2</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7231.1508400548528</v>
      </c>
      <c r="C22" s="445">
        <f t="shared" ref="C22:C32" ca="1" si="3">C4*$C$17</f>
        <v>0</v>
      </c>
      <c r="D22" s="445">
        <f t="shared" ref="D22:D32" si="4">D4*$D$17</f>
        <v>13159.710058480467</v>
      </c>
      <c r="E22" s="445">
        <f t="shared" ref="E22:E32" si="5">E4*$E$17</f>
        <v>376.69853015049745</v>
      </c>
      <c r="F22" s="445">
        <f t="shared" ref="F22:F32" si="6">F4*$F$17</f>
        <v>15124.169910783434</v>
      </c>
      <c r="G22" s="445">
        <f t="shared" ref="G22:G32" si="7">G4*$G$17</f>
        <v>0</v>
      </c>
      <c r="H22" s="445">
        <f t="shared" ref="H22:H32" si="8">H4*$H$17</f>
        <v>0</v>
      </c>
      <c r="I22" s="445">
        <f t="shared" ref="I22:I32" si="9">I4*$I$17</f>
        <v>0</v>
      </c>
      <c r="J22" s="445">
        <f t="shared" ref="J22:J32" si="10">J4*$J$17</f>
        <v>451.52628706350947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36343.255626532766</v>
      </c>
    </row>
    <row r="23" spans="1:17">
      <c r="A23" s="444" t="s">
        <v>149</v>
      </c>
      <c r="B23" s="445">
        <f t="shared" ca="1" si="2"/>
        <v>2720.3472854841434</v>
      </c>
      <c r="C23" s="445">
        <f t="shared" ca="1" si="3"/>
        <v>0</v>
      </c>
      <c r="D23" s="445">
        <f t="shared" ca="1" si="4"/>
        <v>3038.9549329446709</v>
      </c>
      <c r="E23" s="445">
        <f t="shared" si="5"/>
        <v>54.418059886350996</v>
      </c>
      <c r="F23" s="445">
        <f t="shared" ca="1" si="6"/>
        <v>616.0748384328889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6429.7951167480551</v>
      </c>
    </row>
    <row r="24" spans="1:17">
      <c r="A24" s="444" t="s">
        <v>187</v>
      </c>
      <c r="B24" s="445">
        <f t="shared" ca="1" si="2"/>
        <v>231.13949066733099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231.13949066733099</v>
      </c>
    </row>
    <row r="25" spans="1:17">
      <c r="A25" s="444" t="s">
        <v>105</v>
      </c>
      <c r="B25" s="445">
        <f t="shared" ca="1" si="2"/>
        <v>342.87495615871251</v>
      </c>
      <c r="C25" s="445">
        <f t="shared" ca="1" si="3"/>
        <v>318.04411764705884</v>
      </c>
      <c r="D25" s="445">
        <f t="shared" si="4"/>
        <v>109.58898761534626</v>
      </c>
      <c r="E25" s="445">
        <f t="shared" si="5"/>
        <v>3.2822299718425541</v>
      </c>
      <c r="F25" s="445">
        <f t="shared" si="6"/>
        <v>1004.5480950306148</v>
      </c>
      <c r="G25" s="445">
        <f t="shared" si="7"/>
        <v>0</v>
      </c>
      <c r="H25" s="445">
        <f t="shared" si="8"/>
        <v>0</v>
      </c>
      <c r="I25" s="445">
        <f t="shared" si="9"/>
        <v>0</v>
      </c>
      <c r="J25" s="445">
        <f t="shared" si="10"/>
        <v>57.48085588876328</v>
      </c>
      <c r="K25" s="445">
        <f t="shared" si="11"/>
        <v>0</v>
      </c>
      <c r="L25" s="445">
        <f t="shared" si="12"/>
        <v>0</v>
      </c>
      <c r="M25" s="445">
        <f t="shared" si="13"/>
        <v>0</v>
      </c>
      <c r="N25" s="445">
        <f t="shared" si="14"/>
        <v>0</v>
      </c>
      <c r="O25" s="445">
        <f t="shared" si="15"/>
        <v>0</v>
      </c>
      <c r="P25" s="446">
        <f t="shared" si="16"/>
        <v>0</v>
      </c>
      <c r="Q25" s="444">
        <f t="shared" ca="1" si="17"/>
        <v>1835.8192423123382</v>
      </c>
    </row>
    <row r="26" spans="1:17">
      <c r="A26" s="444" t="s">
        <v>613</v>
      </c>
      <c r="B26" s="445">
        <f t="shared" ca="1" si="2"/>
        <v>16405.770467405455</v>
      </c>
      <c r="C26" s="445">
        <f t="shared" ca="1" si="3"/>
        <v>0</v>
      </c>
      <c r="D26" s="445">
        <f t="shared" si="4"/>
        <v>6648.5591917363336</v>
      </c>
      <c r="E26" s="445">
        <f t="shared" si="5"/>
        <v>161.99791608354732</v>
      </c>
      <c r="F26" s="445">
        <f t="shared" si="6"/>
        <v>3553.3258710939244</v>
      </c>
      <c r="G26" s="445">
        <f t="shared" si="7"/>
        <v>0</v>
      </c>
      <c r="H26" s="445">
        <f t="shared" si="8"/>
        <v>0</v>
      </c>
      <c r="I26" s="445">
        <f t="shared" si="9"/>
        <v>0</v>
      </c>
      <c r="J26" s="445">
        <f t="shared" si="10"/>
        <v>112.18270331597624</v>
      </c>
      <c r="K26" s="445">
        <f t="shared" si="11"/>
        <v>0</v>
      </c>
      <c r="L26" s="445">
        <f t="shared" si="12"/>
        <v>0</v>
      </c>
      <c r="M26" s="445">
        <f t="shared" si="13"/>
        <v>0</v>
      </c>
      <c r="N26" s="445">
        <f t="shared" si="14"/>
        <v>0</v>
      </c>
      <c r="O26" s="445">
        <f t="shared" si="15"/>
        <v>0</v>
      </c>
      <c r="P26" s="446">
        <f t="shared" si="16"/>
        <v>0</v>
      </c>
      <c r="Q26" s="444">
        <f t="shared" ca="1" si="17"/>
        <v>26881.836149635234</v>
      </c>
    </row>
    <row r="27" spans="1:17" s="450" customFormat="1">
      <c r="A27" s="448" t="s">
        <v>555</v>
      </c>
      <c r="B27" s="719">
        <f t="shared" ca="1" si="2"/>
        <v>0.2302252994039003</v>
      </c>
      <c r="C27" s="449">
        <f t="shared" ca="1" si="3"/>
        <v>0</v>
      </c>
      <c r="D27" s="449">
        <f t="shared" si="4"/>
        <v>0.9564485151569706</v>
      </c>
      <c r="E27" s="449">
        <f t="shared" si="5"/>
        <v>106.71512915860319</v>
      </c>
      <c r="F27" s="449">
        <f t="shared" si="6"/>
        <v>0</v>
      </c>
      <c r="G27" s="449">
        <f t="shared" si="7"/>
        <v>21743.782689572192</v>
      </c>
      <c r="H27" s="449">
        <f t="shared" si="8"/>
        <v>3934.556588357706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25786.241080903063</v>
      </c>
    </row>
    <row r="28" spans="1:17">
      <c r="A28" s="444" t="s">
        <v>545</v>
      </c>
      <c r="B28" s="445">
        <f t="shared" ca="1" si="2"/>
        <v>0.83821947928287399</v>
      </c>
      <c r="C28" s="445">
        <f t="shared" ca="1" si="3"/>
        <v>0</v>
      </c>
      <c r="D28" s="445">
        <f t="shared" si="4"/>
        <v>0</v>
      </c>
      <c r="E28" s="445">
        <f t="shared" si="5"/>
        <v>0</v>
      </c>
      <c r="F28" s="445">
        <f t="shared" si="6"/>
        <v>0</v>
      </c>
      <c r="G28" s="445">
        <f t="shared" si="7"/>
        <v>227.21133966611941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228.0495591454023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368.88855432222635</v>
      </c>
      <c r="C32" s="445">
        <f t="shared" ca="1" si="3"/>
        <v>0</v>
      </c>
      <c r="D32" s="445">
        <f t="shared" si="4"/>
        <v>646.46833604796439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1015.3568903701907</v>
      </c>
    </row>
    <row r="33" spans="1:17" s="457" customFormat="1">
      <c r="A33" s="454" t="s">
        <v>549</v>
      </c>
      <c r="B33" s="455">
        <f ca="1">SUM(B22:B32)</f>
        <v>27301.240038871409</v>
      </c>
      <c r="C33" s="455">
        <f t="shared" ref="C33:Q33" ca="1" si="19">SUM(C22:C32)</f>
        <v>318.04411764705884</v>
      </c>
      <c r="D33" s="455">
        <f t="shared" ca="1" si="19"/>
        <v>23604.237955339941</v>
      </c>
      <c r="E33" s="455">
        <f t="shared" si="19"/>
        <v>703.11186525084156</v>
      </c>
      <c r="F33" s="455">
        <f t="shared" ca="1" si="19"/>
        <v>20298.118715340861</v>
      </c>
      <c r="G33" s="455">
        <f t="shared" si="19"/>
        <v>21970.994029238311</v>
      </c>
      <c r="H33" s="455">
        <f t="shared" si="19"/>
        <v>3934.556588357706</v>
      </c>
      <c r="I33" s="455">
        <f t="shared" si="19"/>
        <v>0</v>
      </c>
      <c r="J33" s="455">
        <f t="shared" si="19"/>
        <v>621.18984626824897</v>
      </c>
      <c r="K33" s="455">
        <f t="shared" si="19"/>
        <v>0</v>
      </c>
      <c r="L33" s="455">
        <f t="shared" ca="1" si="19"/>
        <v>0</v>
      </c>
      <c r="M33" s="455">
        <f t="shared" si="19"/>
        <v>0</v>
      </c>
      <c r="N33" s="455">
        <f t="shared" ca="1" si="19"/>
        <v>0</v>
      </c>
      <c r="O33" s="455">
        <f t="shared" si="19"/>
        <v>0</v>
      </c>
      <c r="P33" s="455">
        <f t="shared" si="19"/>
        <v>0</v>
      </c>
      <c r="Q33" s="455">
        <f t="shared" ca="1" si="19"/>
        <v>98751.493156314391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1906.809346548775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2700</v>
      </c>
      <c r="C8" s="963">
        <f>'SEAP template'!C76</f>
        <v>900</v>
      </c>
      <c r="D8" s="963">
        <f>'SEAP template'!D76</f>
        <v>0</v>
      </c>
      <c r="E8" s="963">
        <f>'SEAP template'!E76</f>
        <v>0</v>
      </c>
      <c r="F8" s="963">
        <f>'SEAP template'!F76</f>
        <v>1058.8235294117646</v>
      </c>
      <c r="G8" s="963">
        <f>'SEAP template'!G76</f>
        <v>0</v>
      </c>
      <c r="H8" s="963">
        <f>'SEAP template'!H76</f>
        <v>0</v>
      </c>
      <c r="I8" s="963">
        <f>'SEAP template'!I76</f>
        <v>3176.4705882352941</v>
      </c>
      <c r="J8" s="963">
        <f>'SEAP template'!J76</f>
        <v>0</v>
      </c>
      <c r="K8" s="963">
        <f>'SEAP template'!K76</f>
        <v>0</v>
      </c>
      <c r="L8" s="963">
        <f>'SEAP template'!L76</f>
        <v>0</v>
      </c>
      <c r="M8" s="963">
        <f>'SEAP template'!M76</f>
        <v>0</v>
      </c>
      <c r="N8" s="963">
        <f>'SEAP template'!N76</f>
        <v>0</v>
      </c>
      <c r="O8" s="963">
        <f>'SEAP template'!O76</f>
        <v>0</v>
      </c>
      <c r="P8" s="964">
        <f>'SEAP template'!Q76</f>
        <v>282.70588235294116</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4606.8093465487746</v>
      </c>
      <c r="C10" s="967">
        <f>SUM(C4:C9)</f>
        <v>900</v>
      </c>
      <c r="D10" s="967">
        <f t="shared" ref="D10:H10" si="0">SUM(D8:D9)</f>
        <v>0</v>
      </c>
      <c r="E10" s="967">
        <f t="shared" si="0"/>
        <v>0</v>
      </c>
      <c r="F10" s="967">
        <f t="shared" si="0"/>
        <v>1058.8235294117646</v>
      </c>
      <c r="G10" s="967">
        <f t="shared" si="0"/>
        <v>0</v>
      </c>
      <c r="H10" s="967">
        <f t="shared" si="0"/>
        <v>0</v>
      </c>
      <c r="I10" s="967">
        <f>SUM(I8:I9)</f>
        <v>3176.4705882352941</v>
      </c>
      <c r="J10" s="967">
        <f>SUM(J8:J9)</f>
        <v>0</v>
      </c>
      <c r="K10" s="967">
        <f t="shared" ref="K10:L10" si="1">SUM(K8:K9)</f>
        <v>0</v>
      </c>
      <c r="L10" s="967">
        <f t="shared" si="1"/>
        <v>0</v>
      </c>
      <c r="M10" s="967">
        <f>SUM(M8:M9)</f>
        <v>0</v>
      </c>
      <c r="N10" s="967">
        <f>SUM(N8:N9)</f>
        <v>0</v>
      </c>
      <c r="O10" s="967">
        <f>SUM(O8:O9)</f>
        <v>0</v>
      </c>
      <c r="P10" s="967">
        <f>SUM(P8:P9)</f>
        <v>282.70588235294116</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0.21368722742876858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3037.5</v>
      </c>
      <c r="C17" s="970">
        <f>'SEAP template'!C87</f>
        <v>1012.5</v>
      </c>
      <c r="D17" s="964">
        <f>'SEAP template'!D87</f>
        <v>0</v>
      </c>
      <c r="E17" s="964">
        <f>'SEAP template'!E87</f>
        <v>0</v>
      </c>
      <c r="F17" s="964">
        <f>'SEAP template'!F87</f>
        <v>1191.1764705882354</v>
      </c>
      <c r="G17" s="964">
        <f>'SEAP template'!G87</f>
        <v>0</v>
      </c>
      <c r="H17" s="964">
        <f>'SEAP template'!H87</f>
        <v>0</v>
      </c>
      <c r="I17" s="964">
        <f>'SEAP template'!I87</f>
        <v>3573.5294117647059</v>
      </c>
      <c r="J17" s="964">
        <f>'SEAP template'!J87</f>
        <v>0</v>
      </c>
      <c r="K17" s="964">
        <f>'SEAP template'!K87</f>
        <v>0</v>
      </c>
      <c r="L17" s="964">
        <f>'SEAP template'!L87</f>
        <v>0</v>
      </c>
      <c r="M17" s="964">
        <f>'SEAP template'!M87</f>
        <v>0</v>
      </c>
      <c r="N17" s="964">
        <f>'SEAP template'!N87</f>
        <v>0</v>
      </c>
      <c r="O17" s="964">
        <f>'SEAP template'!O87</f>
        <v>0</v>
      </c>
      <c r="P17" s="964">
        <f>'SEAP template'!Q87</f>
        <v>318.04411764705884</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3037.5</v>
      </c>
      <c r="C20" s="967">
        <f>SUM(C17:C19)</f>
        <v>1012.5</v>
      </c>
      <c r="D20" s="967">
        <f t="shared" ref="D20:H20" si="2">SUM(D17:D19)</f>
        <v>0</v>
      </c>
      <c r="E20" s="967">
        <f t="shared" si="2"/>
        <v>0</v>
      </c>
      <c r="F20" s="967">
        <f t="shared" si="2"/>
        <v>1191.1764705882354</v>
      </c>
      <c r="G20" s="967">
        <f t="shared" si="2"/>
        <v>0</v>
      </c>
      <c r="H20" s="967">
        <f t="shared" si="2"/>
        <v>0</v>
      </c>
      <c r="I20" s="967">
        <f>SUM(I17:I19)</f>
        <v>3573.5294117647059</v>
      </c>
      <c r="J20" s="967">
        <f>SUM(J17:J19)</f>
        <v>0</v>
      </c>
      <c r="K20" s="967">
        <f t="shared" ref="K20:L20" si="3">SUM(K17:K19)</f>
        <v>0</v>
      </c>
      <c r="L20" s="967">
        <f t="shared" si="3"/>
        <v>0</v>
      </c>
      <c r="M20" s="967">
        <f>SUM(M17:M19)</f>
        <v>0</v>
      </c>
      <c r="N20" s="967">
        <f>SUM(N17:N19)</f>
        <v>0</v>
      </c>
      <c r="O20" s="967">
        <f>SUM(O17:O19)</f>
        <v>0</v>
      </c>
      <c r="P20" s="967">
        <f>SUM(P17:P19)</f>
        <v>318.04411764705884</v>
      </c>
    </row>
    <row r="22" spans="1:16">
      <c r="A22" s="458" t="s">
        <v>885</v>
      </c>
      <c r="B22" s="725" t="s">
        <v>879</v>
      </c>
      <c r="C22" s="725">
        <f ca="1">'EF ele_warmte'!B22</f>
        <v>7.8529411764705889E-2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0.21368722742876858</v>
      </c>
      <c r="C17" s="494">
        <f ca="1">'EF ele_warmte'!B22</f>
        <v>7.8529411764705889E-2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2022-07-26T13:01:00Z</dcterms:modified>
</cp:coreProperties>
</file>