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6CC33D9-13AF-47E5-B2B9-C5FFCFECEB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<sst xmlns="http://schemas.openxmlformats.org/spreadsheetml/2006/main" count="2513" uniqueCount="962">
  <si>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</si>
  <si>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</si>
  <si>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</si>
  <si>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</si>
  <si>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</si>
  <si>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</si>
  <si>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</si>
  <si>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</si>
  <si>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</si>
  <si>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</si>
  <si>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</si>
  <si>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</si>
  <si>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</si>
  <si>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</si>
  <si>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</si>
  <si>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</si>
  <si>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</si>
  <si>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</si>
  <si>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</si>
  <si>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</si>
  <si>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</si>
  <si>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</si>
  <si>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</si>
  <si>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</si>
  <si>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</si>
  <si>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</si>
  <si>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</si>
  <si>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</si>
  <si>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</si>
  <si>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</si>
  <si>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</si>
  <si>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</si>
  <si>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</si>
  <si>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</si>
  <si>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</si>
  <si>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</si>
  <si>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</si>
  <si>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</si>
  <si>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</si>
  <si>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</si>
  <si>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</si>
  <si>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</si>
  <si>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</si>
  <si>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</si>
  <si>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</si>
  <si>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</si>
  <si>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</si>
  <si>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</si>
  <si>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</si>
  <si>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</si>
  <si>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</si>
  <si>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</si>
  <si>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</si>
  <si>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</si>
  <si>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</si>
  <si>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</si>
  <si>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</si>
  <si>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</si>
  <si>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</si>
  <si>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</si>
  <si>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</si>
  <si>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</si>
  <si>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</si>
  <si>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</si>
  <si>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</si>
  <si>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</si>
  <si>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</si>
  <si>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</si>
  <si>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</si>
  <si>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</si>
  <si>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</si>
  <si>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</si>
  <si>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</si>
  <si>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</si>
  <si>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</si>
  <si>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</si>
  <si>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</si>
  <si>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</si>
  <si>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</si>
  <si>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</si>
  <si>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</si>
  <si>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</si>
  <si>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</si>
  <si>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</si>
  <si>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</si>
  <si>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</si>
  <si>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</si>
  <si>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</si>
  <si>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</si>
  <si>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</si>
  <si>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</si>
  <si>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</si>
  <si>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</si>
  <si>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</si>
  <si>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</si>
  <si>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</si>
  <si>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</si>
  <si>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</si>
  <si>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</si>
  <si>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</si>
  <si>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</si>
  <si>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</si>
  <si>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</si>
  <si>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</si>
  <si>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</si>
  <si>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</si>
  <si>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</si>
  <si>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</si>
  <si>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</si>
  <si>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</si>
  <si>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</si>
  <si>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</si>
  <si>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</si>
  <si>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</si>
  <si>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</si>
  <si>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</si>
  <si>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</si>
  <si>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</si>
  <si>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</si>
  <si>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</si>
  <si>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</si>
  <si>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</si>
  <si>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</si>
  <si>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</si>
  <si>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</si>
  <si>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</si>
  <si>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</si>
  <si>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</si>
  <si>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</si>
  <si>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</si>
  <si>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</si>
  <si>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</si>
  <si>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</si>
  <si>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</si>
  <si>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</si>
  <si>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</si>
  <si>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</si>
  <si>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</si>
  <si>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</si>
  <si>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</si>
  <si>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</si>
  <si>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</si>
  <si>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</si>
  <si>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</si>
  <si>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</si>
  <si>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</si>
  <si>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</si>
  <si>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</si>
  <si>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</si>
  <si>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</si>
  <si>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</si>
  <si>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</si>
  <si>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</si>
  <si>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</si>
  <si>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</si>
  <si>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</si>
  <si>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</si>
  <si>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</si>
  <si>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</si>
  <si>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</si>
  <si>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</si>
  <si>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</si>
  <si>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</si>
  <si>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</si>
  <si>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</si>
  <si>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</si>
  <si>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</si>
  <si>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</si>
  <si>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</si>
  <si>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</si>
  <si>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</si>
  <si>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</si>
  <si>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</si>
  <si>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</si>
  <si>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</si>
  <si>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</si>
  <si>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</si>
  <si>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</si>
  <si>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</si>
  <si>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</si>
  <si>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</si>
  <si>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</si>
  <si>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</si>
  <si>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</si>
  <si>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</si>
  <si>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</si>
  <si>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</si>
  <si>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</si>
  <si>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</si>
  <si>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</si>
  <si>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</si>
  <si>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</si>
  <si>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</si>
  <si>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</si>
  <si>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</si>
  <si>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</si>
  <si>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</si>
  <si>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</si>
  <si>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</si>
  <si>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</si>
  <si>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</si>
  <si>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</si>
  <si>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</si>
  <si>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</si>
  <si>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</si>
  <si>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</si>
  <si>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</si>
  <si>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</si>
  <si>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</si>
  <si>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</si>
  <si>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</si>
  <si>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</si>
  <si>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</si>
  <si>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</si>
  <si>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</si>
  <si>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</si>
  <si>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</si>
  <si>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</si>
  <si>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</si>
  <si>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</si>
  <si>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</si>
  <si>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</si>
  <si>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</si>
  <si>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</si>
  <si>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</si>
  <si>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</si>
  <si>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</si>
  <si>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</si>
  <si>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</si>
  <si>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</si>
  <si>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</si>
  <si>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</si>
  <si>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</si>
  <si>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</si>
  <si>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</si>
  <si>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</si>
  <si>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</si>
  <si>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</si>
  <si>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</si>
  <si>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</si>
  <si>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</si>
  <si>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</si>
  <si>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</si>
  <si>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</si>
  <si>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</si>
  <si>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</si>
  <si>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</si>
  <si>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</si>
  <si>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</si>
  <si>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</si>
  <si>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</si>
  <si>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</si>
  <si>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</si>
  <si>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</si>
  <si>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</si>
  <si>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</si>
  <si>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</si>
  <si>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</si>
  <si>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</si>
  <si>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</si>
  <si>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</si>
  <si>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</si>
  <si>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</si>
  <si>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</si>
  <si>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</si>
  <si>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</si>
  <si>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</si>
  <si>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</si>
  <si>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</si>
  <si>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</si>
  <si>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</si>
  <si>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</si>
  <si>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</si>
  <si>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</si>
  <si>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</si>
  <si>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</si>
  <si>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</si>
  <si>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</si>
  <si>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</si>
  <si>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</si>
  <si>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</si>
  <si>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</si>
  <si>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</si>
  <si>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</si>
  <si>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</si>
  <si>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</si>
  <si>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</si>
  <si>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</si>
  <si>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</si>
  <si>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</si>
  <si>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</si>
  <si>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</si>
  <si>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</si>
  <si>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</si>
  <si>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</si>
  <si>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</si>
  <si>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</si>
  <si>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</si>
  <si>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</si>
  <si>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</si>
  <si>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</si>
  <si>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</si>
  <si>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</si>
  <si>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</si>
  <si>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</si>
  <si>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</si>
  <si>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</si>
  <si>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</si>
  <si>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</si>
  <si>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</si>
  <si>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</si>
  <si>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</si>
  <si>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</si>
  <si>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</si>
  <si>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</si>
  <si>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</si>
  <si>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</si>
  <si>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</si>
  <si>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</si>
  <si>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</si>
  <si>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</si>
  <si>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</si>
  <si>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</si>
  <si>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</si>
  <si>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</si>
  <si>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</si>
  <si>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</si>
  <si>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</si>
  <si>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</si>
  <si>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</si>
  <si>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</si>
  <si>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</si>
  <si>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</si>
  <si>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</si>
  <si>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</si>
  <si>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</si>
  <si>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</si>
  <si>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</si>
  <si>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</si>
  <si>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</si>
  <si>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</si>
  <si>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</si>
  <si>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</si>
  <si>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</si>
  <si>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</si>
  <si>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</si>
  <si>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</si>
  <si>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</si>
  <si>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</si>
  <si>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</si>
  <si>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</si>
  <si>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</si>
  <si>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</si>
  <si>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</si>
  <si>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</si>
  <si>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</si>
  <si>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</si>
  <si>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</si>
  <si>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</si>
  <si>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</si>
  <si>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</si>
  <si>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</si>
  <si>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</si>
  <si>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</si>
  <si>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</si>
  <si>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</si>
  <si>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</si>
  <si>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</si>
  <si>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</si>
  <si>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</si>
  <si>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</si>
  <si>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</si>
  <si>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</si>
  <si>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</si>
  <si>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</si>
  <si>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</si>
  <si>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</si>
  <si>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</si>
  <si>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</si>
  <si>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</si>
  <si>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</si>
  <si>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</si>
  <si>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</si>
  <si>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</si>
  <si>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</si>
  <si>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</si>
  <si>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</si>
  <si>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</si>
  <si>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</si>
  <si>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</si>
  <si>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</si>
  <si>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</si>
  <si>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</si>
  <si>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</si>
  <si>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</si>
  <si>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</si>
  <si>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</si>
  <si>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</si>
  <si>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</si>
  <si>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</si>
  <si>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</si>
  <si>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</si>
  <si>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</si>
  <si>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</si>
  <si>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</si>
  <si>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</si>
  <si>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</si>
  <si>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</si>
  <si>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</si>
  <si>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</si>
  <si>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</si>
  <si>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</si>
  <si>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</si>
  <si>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</si>
  <si>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</si>
  <si>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</si>
  <si>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</si>
  <si>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</si>
  <si>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</si>
  <si>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</si>
  <si>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</si>
  <si>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</si>
  <si>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</si>
  <si>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</si>
  <si>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</si>
  <si>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</si>
  <si>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</si>
  <si>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</si>
  <si>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</si>
  <si>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</si>
  <si>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</si>
  <si>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</si>
  <si>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</si>
  <si>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</si>
  <si>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</si>
  <si>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</si>
  <si>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</si>
  <si>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</si>
  <si>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</si>
  <si>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</si>
  <si>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</si>
  <si>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</si>
  <si>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</si>
  <si>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</si>
  <si>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</si>
  <si>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</si>
  <si>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</si>
  <si>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</si>
  <si>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</si>
  <si>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</si>
  <si>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</si>
  <si>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</si>
  <si>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</si>
  <si>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</si>
  <si>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</si>
  <si>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</si>
  <si>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</si>
  <si>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</si>
  <si>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</si>
  <si>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</si>
  <si>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</si>
  <si>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</si>
  <si>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</si>
  <si>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</si>
  <si>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</si>
  <si>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</si>
  <si>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</si>
  <si>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</si>
  <si>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</si>
  <si>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</si>
  <si>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</si>
  <si>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</si>
  <si>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</si>
  <si>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</si>
  <si>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</si>
  <si>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</si>
  <si>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</si>
  <si>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</si>
  <si>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</si>
  <si>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</si>
  <si>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</si>
  <si>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</si>
  <si>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</si>
  <si>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</si>
  <si>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</si>
  <si>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</si>
  <si>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</si>
  <si>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</si>
  <si>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</si>
  <si>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</si>
  <si>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</si>
  <si>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</si>
  <si>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</si>
  <si>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</si>
  <si>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</si>
  <si>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</si>
  <si>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</si>
  <si>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</si>
  <si>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</si>
  <si>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</si>
  <si>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</si>
  <si>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</si>
  <si>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</si>
  <si>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</si>
  <si>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</si>
  <si>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</si>
  <si>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</si>
  <si>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</si>
  <si>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</si>
  <si>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</si>
  <si>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</si>
  <si>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</si>
  <si>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</si>
  <si>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</si>
  <si>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</si>
  <si>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</si>
  <si>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</si>
  <si>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</si>
  <si>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</si>
  <si>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</si>
  <si>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</si>
  <si>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</si>
  <si>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</si>
  <si>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</si>
  <si>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</si>
  <si>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</si>
  <si>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</si>
  <si>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</si>
  <si>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</si>
  <si>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</si>
  <si>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</si>
  <si>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</si>
  <si>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</si>
  <si>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</si>
  <si>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</si>
  <si>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</si>
  <si>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</si>
  <si>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</si>
  <si>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</si>
  <si>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</si>
  <si>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</si>
  <si>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</si>
  <si>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</si>
  <si>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</si>
  <si>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</si>
  <si>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</si>
  <si>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</si>
  <si>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</si>
  <si>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</si>
  <si>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</si>
  <si>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</si>
  <si>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</si>
  <si>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</si>
  <si>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</si>
  <si>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</si>
  <si>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</si>
  <si>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</si>
  <si>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</si>
  <si>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</si>
  <si>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</si>
  <si>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</si>
  <si>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</si>
  <si>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</si>
  <si>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</si>
  <si>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</si>
  <si>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</si>
  <si>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</si>
  <si>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</si>
  <si>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</si>
  <si>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</si>
  <si>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</si>
  <si>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</si>
  <si>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</si>
  <si>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</si>
  <si>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</si>
  <si>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</si>
  <si>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</si>
  <si>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</si>
  <si>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</si>
  <si>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</si>
  <si>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</si>
  <si>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</si>
  <si>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</si>
  <si>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</si>
  <si>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</si>
  <si>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</si>
  <si>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</si>
  <si>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</si>
  <si>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</si>
  <si>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</si>
  <si>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</si>
  <si>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</si>
  <si>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</si>
  <si>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</si>
  <si>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</si>
  <si>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</si>
  <si>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</si>
  <si>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</si>
  <si>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</si>
  <si>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</si>
  <si>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</si>
  <si>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</si>
  <si>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</si>
  <si>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</si>
  <si>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</si>
  <si>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</si>
  <si>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</si>
  <si>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</si>
  <si>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</si>
  <si>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</si>
  <si>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</si>
  <si>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</si>
  <si>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</si>
  <si>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</si>
  <si>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</si>
  <si>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</si>
  <si>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</si>
  <si>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</si>
  <si>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</si>
  <si>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</si>
  <si>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</si>
  <si>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</si>
  <si>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</si>
  <si>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</si>
  <si>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</si>
  <si>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</si>
  <si>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</si>
  <si>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</si>
  <si>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</si>
  <si>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</si>
  <si>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</si>
  <si>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</si>
  <si>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</si>
  <si>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</si>
  <si>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</si>
  <si>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</si>
  <si>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</si>
  <si>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</si>
  <si>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</si>
  <si>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</si>
  <si>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</si>
  <si>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</si>
  <si>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</si>
  <si>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</si>
  <si>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</si>
  <si>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</si>
  <si>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</si>
  <si>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</si>
  <si>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</si>
  <si>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</si>
  <si>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</si>
  <si>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</si>
  <si>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</si>
  <si>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</si>
  <si>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</si>
  <si>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</si>
  <si>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</si>
  <si>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</si>
  <si>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</si>
  <si>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</si>
  <si>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</si>
  <si>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</si>
  <si>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</si>
  <si>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</si>
  <si>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</si>
  <si>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</si>
  <si>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</si>
  <si>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</si>
  <si>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</si>
  <si>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</si>
  <si>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</si>
  <si>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</si>
  <si>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</si>
  <si>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</si>
  <si>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</si>
  <si>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</si>
  <si>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</si>
  <si>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</si>
  <si>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</si>
  <si>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</si>
  <si>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</si>
  <si>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</si>
  <si>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</si>
  <si>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</si>
  <si>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</si>
  <si>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</si>
  <si>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</si>
  <si>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</si>
  <si>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</si>
  <si>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</si>
  <si>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</si>
  <si>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</si>
  <si>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</si>
  <si>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</si>
  <si>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</si>
  <si>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</si>
  <si>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</si>
  <si>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</si>
  <si>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</si>
  <si>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</si>
  <si>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</si>
  <si>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</si>
  <si>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</si>
  <si>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</si>
  <si>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</si>
  <si>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</si>
  <si>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</si>
  <si>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</si>
  <si>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</si>
  <si>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</si>
  <si>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</si>
  <si>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</si>
  <si>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</si>
  <si>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</si>
  <si>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</si>
  <si>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</si>
  <si>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</si>
  <si>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</si>
  <si>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</si>
  <si>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</si>
  <si>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</si>
  <si>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</si>
  <si>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</si>
  <si>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</si>
  <si>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</si>
  <si>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</si>
  <si>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</si>
  <si>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</si>
  <si>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</si>
  <si>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</si>
  <si>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</si>
  <si>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</si>
  <si>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</si>
  <si>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</si>
  <si>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</si>
  <si>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</si>
  <si>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</si>
  <si>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</si>
  <si>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</si>
  <si>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</si>
  <si>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</si>
  <si>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</si>
  <si>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</si>
  <si>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</si>
  <si>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</si>
  <si>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</si>
  <si>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</si>
  <si>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</si>
  <si>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</si>
  <si>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</si>
  <si>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</si>
  <si>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</si>
  <si>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</si>
  <si>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</si>
  <si>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</si>
  <si>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</si>
  <si>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</si>
  <si>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</si>
  <si>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</si>
  <si>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</si>
  <si>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</si>
  <si>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</si>
  <si>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</si>
  <si>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</si>
  <si>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</si>
  <si>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</si>
  <si>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</si>
  <si>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</si>
  <si>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</si>
  <si>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</si>
  <si>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</si>
  <si>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</si>
  <si>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</si>
  <si>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</si>
  <si>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</si>
  <si>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</si>
  <si>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</si>
  <si>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</si>
  <si>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</si>
  <si>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</si>
  <si>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</si>
  <si>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</si>
  <si>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</si>
  <si>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</si>
  <si>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</si>
  <si>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</si>
  <si>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</si>
  <si>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</si>
  <si>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</si>
  <si>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</si>
  <si>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</si>
  <si>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</si>
  <si>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</si>
  <si>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</si>
  <si>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</si>
  <si>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</si>
  <si>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</si>
  <si>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</si>
  <si>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</si>
  <si>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</si>
  <si>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</si>
  <si>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</si>
  <si>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</si>
  <si>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</si>
  <si>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</si>
  <si>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</si>
  <si>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</si>
  <si>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</si>
  <si>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</si>
  <si>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</si>
  <si>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</si>
  <si>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</si>
  <si>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</si>
  <si>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</si>
  <si>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</si>
  <si>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</si>
  <si>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</si>
  <si>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</si>
  <si>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</si>
  <si>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</si>
  <si>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</si>
  <si>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</si>
  <si>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</si>
  <si>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</si>
  <si>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</si>
  <si>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</si>
  <si>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</si>
  <si>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</si>
  <si>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</si>
  <si>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</si>
  <si>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</si>
  <si>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</si>
  <si>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</si>
  <si>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</si>
  <si>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</si>
  <si>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</si>
  <si>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</si>
  <si>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</si>
  <si>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</si>
  <si>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</si>
  <si>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</si>
  <si>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</si>
  <si>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</si>
  <si>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</si>
  <si>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</si>
  <si>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</si>
  <si>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</si>
  <si>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</si>
  <si>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</si>
  <si>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</si>
  <si>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</si>
  <si>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</si>
  <si>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</si>
  <si>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</si>
  <si>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</si>
  <si>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</si>
  <si>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</si>
  <si>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</si>
  <si>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</si>
  <si>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</si>
  <si>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</si>
  <si>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</si>
  <si>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</si>
  <si>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</si>
  <si>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</si>
  <si>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</si>
  <si>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</si>
  <si>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</si>
  <si>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</si>
  <si>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</si>
  <si>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</si>
  <si>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</si>
  <si>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</si>
  <si>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</si>
  <si>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</si>
  <si>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</si>
  <si>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</si>
  <si>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</si>
  <si>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</si>
  <si>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</si>
  <si>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</si>
  <si>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</si>
  <si>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</si>
  <si>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</si>
  <si>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</si>
  <si>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</si>
  <si>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</si>
  <si>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</si>
  <si>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</si>
  <si>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</si>
  <si>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</si>
  <si>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</si>
  <si>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</si>
  <si>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</si>
  <si>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</si>
  <si>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</si>
  <si>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</si>
  <si>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</si>
  <si>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</si>
  <si>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</si>
  <si>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</si>
  <si>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</si>
  <si>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</si>
  <si>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</si>
  <si>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</si>
  <si>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</si>
  <si>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</si>
  <si>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</si>
  <si>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</si>
  <si>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</si>
  <si>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</si>
  <si>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</si>
  <si>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</si>
  <si>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</si>
  <si>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</si>
  <si>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</si>
  <si>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</si>
  <si>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</si>
  <si>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</si>
  <si>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</si>
  <si>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</si>
  <si>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</si>
  <si>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</si>
  <si>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</si>
  <si>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</si>
  <si>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</si>
  <si>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</si>
  <si>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</si>
  <si>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</si>
  <si>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</si>
  <si>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</si>
  <si>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</si>
  <si>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</si>
  <si>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</si>
  <si>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</si>
  <si>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</si>
  <si>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</si>
  <si>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</si>
  <si>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</si>
  <si>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</si>
  <si>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</si>
  <si>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</si>
  <si>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</si>
  <si>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</si>
  <si>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</si>
  <si>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</si>
  <si>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</si>
  <si>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</si>
  <si>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</si>
  <si>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</si>
  <si>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</si>
  <si>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</si>
  <si>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</si>
  <si>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</si>
  <si>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</si>
  <si>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</si>
  <si>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</si>
  <si>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41011</t>
  </si>
  <si>
    <t>DENDERLEEUW</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</si>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</sst>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8FCD6DA-4804-4471-AF00-73528600DCE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41011</v>
      </c>
      <c r="B6" s="382"/>
      <c r="C6" s="383"/>
    </row>
    <row r="7" spans="1:7" s="380" customFormat="1" ht="15.75" customHeight="1">
      <c r="A7" s="384" t="str">
        <f>txtMunicipality</f>
        <v>DENDERLEEUW</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0.2155234298636054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0.2155234298636054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7854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393</v>
      </c>
      <c r="C14" s="324"/>
      <c r="D14" s="324"/>
      <c r="E14" s="324"/>
      <c r="F14" s="324"/>
    </row>
    <row r="15" spans="1:6">
      <c r="A15" s="1235" t="s">
        <v>177</v>
      </c>
      <c r="B15" s="1236">
        <v>2</v>
      </c>
      <c r="C15" s="324"/>
      <c r="D15" s="324"/>
      <c r="E15" s="324"/>
      <c r="F15" s="324"/>
    </row>
    <row r="16" spans="1:6">
      <c r="A16" s="1235" t="s">
        <v>6</v>
      </c>
      <c r="B16" s="1236">
        <v>108</v>
      </c>
      <c r="C16" s="324"/>
      <c r="D16" s="324"/>
      <c r="E16" s="324"/>
      <c r="F16" s="324"/>
    </row>
    <row r="17" spans="1:6">
      <c r="A17" s="1235" t="s">
        <v>7</v>
      </c>
      <c r="B17" s="1236">
        <v>66</v>
      </c>
      <c r="C17" s="324"/>
      <c r="D17" s="324"/>
      <c r="E17" s="324"/>
      <c r="F17" s="324"/>
    </row>
    <row r="18" spans="1:6">
      <c r="A18" s="1235" t="s">
        <v>8</v>
      </c>
      <c r="B18" s="1236">
        <v>129</v>
      </c>
      <c r="C18" s="324"/>
      <c r="D18" s="324"/>
      <c r="E18" s="324"/>
      <c r="F18" s="324"/>
    </row>
    <row r="19" spans="1:6">
      <c r="A19" s="1235" t="s">
        <v>9</v>
      </c>
      <c r="B19" s="1236">
        <v>131</v>
      </c>
      <c r="C19" s="324"/>
      <c r="D19" s="324"/>
      <c r="E19" s="324"/>
      <c r="F19" s="324"/>
    </row>
    <row r="20" spans="1:6">
      <c r="A20" s="1235" t="s">
        <v>10</v>
      </c>
      <c r="B20" s="1236">
        <v>77</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53</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13</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345017.63396763499</v>
      </c>
      <c r="E38" s="1236">
        <v>1</v>
      </c>
      <c r="F38" s="1236">
        <v>4019.3980273888001</v>
      </c>
    </row>
    <row r="39" spans="1:6">
      <c r="A39" s="1235" t="s">
        <v>29</v>
      </c>
      <c r="B39" s="1235" t="s">
        <v>30</v>
      </c>
      <c r="C39" s="1236">
        <v>4637</v>
      </c>
      <c r="D39" s="1236">
        <v>74998381.904835403</v>
      </c>
      <c r="E39" s="1236">
        <v>7939</v>
      </c>
      <c r="F39" s="1236">
        <v>33433045.398372501</v>
      </c>
    </row>
    <row r="40" spans="1:6">
      <c r="A40" s="1235" t="s">
        <v>29</v>
      </c>
      <c r="B40" s="1235" t="s">
        <v>28</v>
      </c>
      <c r="C40" s="1236">
        <v>0</v>
      </c>
      <c r="D40" s="1236">
        <v>0</v>
      </c>
      <c r="E40" s="1236">
        <v>0</v>
      </c>
      <c r="F40" s="1236">
        <v>0</v>
      </c>
    </row>
    <row r="41" spans="1:6">
      <c r="A41" s="1235" t="s">
        <v>31</v>
      </c>
      <c r="B41" s="1235" t="s">
        <v>32</v>
      </c>
      <c r="C41" s="1236">
        <v>12</v>
      </c>
      <c r="D41" s="1236">
        <v>304689.910314109</v>
      </c>
      <c r="E41" s="1236">
        <v>84</v>
      </c>
      <c r="F41" s="1236">
        <v>1405304.3788255299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646805.79362850799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5</v>
      </c>
      <c r="F47" s="1236">
        <v>25028.132604085898</v>
      </c>
    </row>
    <row r="48" spans="1:6">
      <c r="A48" s="1235" t="s">
        <v>31</v>
      </c>
      <c r="B48" s="1235" t="s">
        <v>28</v>
      </c>
      <c r="C48" s="1236">
        <v>46</v>
      </c>
      <c r="D48" s="1236">
        <v>123961381.28539436</v>
      </c>
      <c r="E48" s="1236">
        <v>55</v>
      </c>
      <c r="F48" s="1236">
        <v>19841867.317214798</v>
      </c>
    </row>
    <row r="49" spans="1:6">
      <c r="A49" s="1235" t="s">
        <v>31</v>
      </c>
      <c r="B49" s="1235" t="s">
        <v>39</v>
      </c>
      <c r="C49" s="1236">
        <v>0</v>
      </c>
      <c r="D49" s="1236">
        <v>0</v>
      </c>
      <c r="E49" s="1236">
        <v>3</v>
      </c>
      <c r="F49" s="1236">
        <v>11193.3260756704</v>
      </c>
    </row>
    <row r="50" spans="1:6">
      <c r="A50" s="1235" t="s">
        <v>31</v>
      </c>
      <c r="B50" s="1235" t="s">
        <v>40</v>
      </c>
      <c r="C50" s="1236">
        <v>8</v>
      </c>
      <c r="D50" s="1236">
        <v>485314.35858680098</v>
      </c>
      <c r="E50" s="1236">
        <v>13</v>
      </c>
      <c r="F50" s="1236">
        <v>381277.40667121398</v>
      </c>
    </row>
    <row r="51" spans="1:6">
      <c r="A51" s="1235" t="s">
        <v>41</v>
      </c>
      <c r="B51" s="1235" t="s">
        <v>42</v>
      </c>
      <c r="C51" s="1236">
        <v>0</v>
      </c>
      <c r="D51" s="1236">
        <v>0</v>
      </c>
      <c r="E51" s="1236">
        <v>0</v>
      </c>
      <c r="F51" s="1236">
        <v>0</v>
      </c>
    </row>
    <row r="52" spans="1:6">
      <c r="A52" s="1235" t="s">
        <v>41</v>
      </c>
      <c r="B52" s="1235" t="s">
        <v>28</v>
      </c>
      <c r="C52" s="1236">
        <v>3</v>
      </c>
      <c r="D52" s="1236">
        <v>39090.759918957803</v>
      </c>
      <c r="E52" s="1236">
        <v>10</v>
      </c>
      <c r="F52" s="1236">
        <v>115777.606689708</v>
      </c>
    </row>
    <row r="53" spans="1:6">
      <c r="A53" s="1235" t="s">
        <v>43</v>
      </c>
      <c r="B53" s="1235" t="s">
        <v>44</v>
      </c>
      <c r="C53" s="1236">
        <v>134</v>
      </c>
      <c r="D53" s="1236">
        <v>2508531.4466681499</v>
      </c>
      <c r="E53" s="1236">
        <v>267</v>
      </c>
      <c r="F53" s="1236">
        <v>1339226.1885556299</v>
      </c>
    </row>
    <row r="54" spans="1:6">
      <c r="A54" s="1235" t="s">
        <v>45</v>
      </c>
      <c r="B54" s="1235" t="s">
        <v>46</v>
      </c>
      <c r="C54" s="1236">
        <v>0</v>
      </c>
      <c r="D54" s="1236">
        <v>0</v>
      </c>
      <c r="E54" s="1236">
        <v>1</v>
      </c>
      <c r="F54" s="1236">
        <v>1208012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397775.84467472701</v>
      </c>
      <c r="E57" s="1236">
        <v>87</v>
      </c>
      <c r="F57" s="1236">
        <v>1232740.0408711501</v>
      </c>
    </row>
    <row r="58" spans="1:6">
      <c r="A58" s="1235" t="s">
        <v>48</v>
      </c>
      <c r="B58" s="1235" t="s">
        <v>50</v>
      </c>
      <c r="C58" s="1236">
        <v>9</v>
      </c>
      <c r="D58" s="1236">
        <v>344676.353445174</v>
      </c>
      <c r="E58" s="1236">
        <v>12</v>
      </c>
      <c r="F58" s="1236">
        <v>468548.86359023798</v>
      </c>
    </row>
    <row r="59" spans="1:6">
      <c r="A59" s="1235" t="s">
        <v>48</v>
      </c>
      <c r="B59" s="1235" t="s">
        <v>51</v>
      </c>
      <c r="C59" s="1236">
        <v>32</v>
      </c>
      <c r="D59" s="1236">
        <v>1361113.2370188001</v>
      </c>
      <c r="E59" s="1236">
        <v>112</v>
      </c>
      <c r="F59" s="1236">
        <v>5120321.1590243699</v>
      </c>
    </row>
    <row r="60" spans="1:6">
      <c r="A60" s="1235" t="s">
        <v>48</v>
      </c>
      <c r="B60" s="1235" t="s">
        <v>52</v>
      </c>
      <c r="C60" s="1236">
        <v>38</v>
      </c>
      <c r="D60" s="1236">
        <v>1172341.3082810999</v>
      </c>
      <c r="E60" s="1236">
        <v>52</v>
      </c>
      <c r="F60" s="1236">
        <v>906648.96424150805</v>
      </c>
    </row>
    <row r="61" spans="1:6">
      <c r="A61" s="1235" t="s">
        <v>48</v>
      </c>
      <c r="B61" s="1235" t="s">
        <v>53</v>
      </c>
      <c r="C61" s="1236">
        <v>51</v>
      </c>
      <c r="D61" s="1236">
        <v>2935424.5559904901</v>
      </c>
      <c r="E61" s="1236">
        <v>156</v>
      </c>
      <c r="F61" s="1236">
        <v>1956216.6213623099</v>
      </c>
    </row>
    <row r="62" spans="1:6">
      <c r="A62" s="1235" t="s">
        <v>48</v>
      </c>
      <c r="B62" s="1235" t="s">
        <v>54</v>
      </c>
      <c r="C62" s="1236">
        <v>10</v>
      </c>
      <c r="D62" s="1236">
        <v>2619861.6197349401</v>
      </c>
      <c r="E62" s="1236">
        <v>9</v>
      </c>
      <c r="F62" s="1236">
        <v>564273.16808076098</v>
      </c>
    </row>
    <row r="63" spans="1:6">
      <c r="A63" s="1235" t="s">
        <v>48</v>
      </c>
      <c r="B63" s="1235" t="s">
        <v>28</v>
      </c>
      <c r="C63" s="1236">
        <v>123</v>
      </c>
      <c r="D63" s="1236">
        <v>5034335.9390980005</v>
      </c>
      <c r="E63" s="1236">
        <v>178</v>
      </c>
      <c r="F63" s="1236">
        <v>3738009.9826977002</v>
      </c>
    </row>
    <row r="64" spans="1:6">
      <c r="A64" s="1235" t="s">
        <v>55</v>
      </c>
      <c r="B64" s="1235" t="s">
        <v>56</v>
      </c>
      <c r="C64" s="1236">
        <v>0</v>
      </c>
      <c r="D64" s="1236">
        <v>0</v>
      </c>
      <c r="E64" s="1236">
        <v>0</v>
      </c>
      <c r="F64" s="1236">
        <v>0</v>
      </c>
    </row>
    <row r="65" spans="1:6">
      <c r="A65" s="1235" t="s">
        <v>55</v>
      </c>
      <c r="B65" s="1235" t="s">
        <v>28</v>
      </c>
      <c r="C65" s="1236">
        <v>4</v>
      </c>
      <c r="D65" s="1236">
        <v>92839.783364703704</v>
      </c>
      <c r="E65" s="1236">
        <v>5</v>
      </c>
      <c r="F65" s="1236">
        <v>19978.815346684602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24531163</v>
      </c>
      <c r="E73" s="443"/>
      <c r="F73" s="324"/>
    </row>
    <row r="74" spans="1:6">
      <c r="A74" s="1235" t="s">
        <v>63</v>
      </c>
      <c r="B74" s="1235" t="s">
        <v>730</v>
      </c>
      <c r="C74" s="1248" t="s">
        <v>731</v>
      </c>
      <c r="D74" s="1236">
        <v>1405320.129085951</v>
      </c>
      <c r="E74" s="443"/>
      <c r="F74" s="324"/>
    </row>
    <row r="75" spans="1:6">
      <c r="A75" s="1235" t="s">
        <v>64</v>
      </c>
      <c r="B75" s="1235" t="s">
        <v>728</v>
      </c>
      <c r="C75" s="1248" t="s">
        <v>732</v>
      </c>
      <c r="D75" s="1236">
        <v>26208066</v>
      </c>
      <c r="E75" s="443"/>
      <c r="F75" s="324"/>
    </row>
    <row r="76" spans="1:6">
      <c r="A76" s="1235" t="s">
        <v>64</v>
      </c>
      <c r="B76" s="1235" t="s">
        <v>730</v>
      </c>
      <c r="C76" s="1248" t="s">
        <v>733</v>
      </c>
      <c r="D76" s="1236">
        <v>513176.12908595102</v>
      </c>
      <c r="E76" s="443"/>
      <c r="F76" s="324"/>
    </row>
    <row r="77" spans="1:6">
      <c r="A77" s="1235" t="s">
        <v>65</v>
      </c>
      <c r="B77" s="1235" t="s">
        <v>728</v>
      </c>
      <c r="C77" s="1248" t="s">
        <v>734</v>
      </c>
      <c r="D77" s="1236">
        <v>5853481</v>
      </c>
      <c r="E77" s="443"/>
      <c r="F77" s="324"/>
    </row>
    <row r="78" spans="1:6">
      <c r="A78" s="1230" t="s">
        <v>65</v>
      </c>
      <c r="B78" s="1230" t="s">
        <v>730</v>
      </c>
      <c r="C78" s="1230" t="s">
        <v>735</v>
      </c>
      <c r="D78" s="1238">
        <v>711151</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271745.74182809796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1416.2824256740626</v>
      </c>
      <c r="C91" s="324"/>
      <c r="D91" s="324"/>
      <c r="E91" s="324"/>
      <c r="F91" s="324"/>
    </row>
    <row r="92" spans="1:6">
      <c r="A92" s="1230" t="s">
        <v>68</v>
      </c>
      <c r="B92" s="1231">
        <v>412.93557644115072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2673</v>
      </c>
      <c r="C97" s="324"/>
      <c r="D97" s="324"/>
      <c r="E97" s="324"/>
      <c r="F97" s="324"/>
    </row>
    <row r="98" spans="1:6">
      <c r="A98" s="1235" t="s">
        <v>71</v>
      </c>
      <c r="B98" s="1236">
        <v>0</v>
      </c>
      <c r="C98" s="324"/>
      <c r="D98" s="324"/>
      <c r="E98" s="324"/>
      <c r="F98" s="324"/>
    </row>
    <row r="99" spans="1:6">
      <c r="A99" s="1235" t="s">
        <v>72</v>
      </c>
      <c r="B99" s="1236">
        <v>112</v>
      </c>
      <c r="C99" s="324"/>
      <c r="D99" s="324"/>
      <c r="E99" s="324"/>
      <c r="F99" s="324"/>
    </row>
    <row r="100" spans="1:6">
      <c r="A100" s="1235" t="s">
        <v>73</v>
      </c>
      <c r="B100" s="1236">
        <v>655</v>
      </c>
      <c r="C100" s="324"/>
      <c r="D100" s="324"/>
      <c r="E100" s="324"/>
      <c r="F100" s="324"/>
    </row>
    <row r="101" spans="1:6">
      <c r="A101" s="1235" t="s">
        <v>74</v>
      </c>
      <c r="B101" s="1236">
        <v>40</v>
      </c>
      <c r="C101" s="324"/>
      <c r="D101" s="324"/>
      <c r="E101" s="324"/>
      <c r="F101" s="324"/>
    </row>
    <row r="102" spans="1:6">
      <c r="A102" s="1235" t="s">
        <v>75</v>
      </c>
      <c r="B102" s="1236">
        <v>98</v>
      </c>
      <c r="C102" s="324"/>
      <c r="D102" s="324"/>
      <c r="E102" s="324"/>
      <c r="F102" s="324"/>
    </row>
    <row r="103" spans="1:6">
      <c r="A103" s="1235" t="s">
        <v>76</v>
      </c>
      <c r="B103" s="1236">
        <v>226</v>
      </c>
      <c r="C103" s="324"/>
      <c r="D103" s="324"/>
      <c r="E103" s="324"/>
      <c r="F103" s="324"/>
    </row>
    <row r="104" spans="1:6">
      <c r="A104" s="1235" t="s">
        <v>77</v>
      </c>
      <c r="B104" s="1236">
        <v>2985</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1</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29</v>
      </c>
      <c r="C129" s="324"/>
      <c r="D129" s="324"/>
      <c r="E129" s="324"/>
      <c r="F129" s="324"/>
    </row>
    <row r="130" spans="1:6">
      <c r="A130" s="1235" t="s">
        <v>284</v>
      </c>
      <c r="B130" s="1236">
        <v>1</v>
      </c>
      <c r="C130" s="324"/>
      <c r="D130" s="324"/>
      <c r="E130" s="324"/>
      <c r="F130" s="324"/>
    </row>
    <row r="131" spans="1:6">
      <c r="A131" s="1235" t="s">
        <v>285</v>
      </c>
      <c r="B131" s="1236">
        <v>9</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73815.758476453542</v>
      </c>
      <c r="C3" s="43" t="s">
        <v>163</v>
      </c>
      <c r="D3" s="43"/>
      <c r="E3" s="155"/>
      <c r="F3" s="43"/>
      <c r="G3" s="43"/>
      <c r="H3" s="43"/>
      <c r="I3" s="43"/>
      <c r="J3" s="43"/>
      <c r="K3" s="96"/>
    </row>
    <row r="4" spans="1:11">
      <c r="A4" s="350" t="s">
        <v>164</v>
      </c>
      <c r="B4" s="49">
        <f>IF(ISERROR('SEAP template'!B78+'SEAP template'!C78),0,'SEAP template'!B78+'SEAP template'!C78)</f>
        <v>1829.2180021152133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0.2155234298636054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1208.0119999999999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1208.0119999999999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0.2155234298636054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260.35488955639369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33433.045398372502</v>
      </c>
      <c r="C5" s="17">
        <f>IF(ISERROR('Eigen informatie GS &amp; warmtenet'!B57),0,'Eigen informatie GS &amp; warmtenet'!B57)</f>
        <v>0</v>
      </c>
      <c r="D5" s="30">
        <f>(SUM(HH_hh_gas_kWh,HH_rest_gas_kWh)/1000)*0.902</f>
        <v>67648.540478161536</v>
      </c>
      <c r="E5" s="17">
        <f>B32*B41</f>
        <v>1659.8751712629235</v>
      </c>
      <c r="F5" s="17">
        <f>B36*B45</f>
        <v>56658.835811363213</v>
      </c>
      <c r="G5" s="18"/>
      <c r="H5" s="17"/>
      <c r="I5" s="17"/>
      <c r="J5" s="17">
        <f>B35*B44+C35*C44</f>
        <v>1275.8133360516642</v>
      </c>
      <c r="K5" s="17"/>
      <c r="L5" s="17"/>
      <c r="M5" s="17"/>
      <c r="N5" s="17">
        <f>B34*B43+C34*C43</f>
        <v>9535.1669220214571</v>
      </c>
      <c r="O5" s="17">
        <f>B52*B53*B54</f>
        <v>54.716666666666669</v>
      </c>
      <c r="P5" s="17">
        <f>B60*B61*B62/1000-B60*B61*B62/1000/B63</f>
        <v>190.66666666666669</v>
      </c>
    </row>
    <row r="6" spans="1:16">
      <c r="A6" s="16" t="s">
        <v>591</v>
      </c>
      <c r="B6" s="727">
        <f>kWh_PV_kleiner_dan_10kW</f>
        <v>1416.2824256740626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34849.327824046566</v>
      </c>
      <c r="C8" s="21">
        <f>C5</f>
        <v>0</v>
      </c>
      <c r="D8" s="21">
        <f>D5</f>
        <v>67648.540478161536</v>
      </c>
      <c r="E8" s="21">
        <f>E5</f>
        <v>1659.8751712629235</v>
      </c>
      <c r="F8" s="21">
        <f>F5</f>
        <v>56658.835811363213</v>
      </c>
      <c r="G8" s="21"/>
      <c r="H8" s="21"/>
      <c r="I8" s="21"/>
      <c r="J8" s="21">
        <f>J5</f>
        <v>1275.8133360516642</v>
      </c>
      <c r="K8" s="21"/>
      <c r="L8" s="21">
        <f>L5</f>
        <v>0</v>
      </c>
      <c r="M8" s="21">
        <f>M5</f>
        <v>0</v>
      </c>
      <c r="N8" s="21">
        <f>N5</f>
        <v>9535.1669220214571</v>
      </c>
      <c r="O8" s="21">
        <f>O5</f>
        <v>54.716666666666669</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0.2155234298636054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7510.8466610796922</v>
      </c>
      <c r="C12" s="23">
        <f ca="1">C10*C8</f>
        <v>0</v>
      </c>
      <c r="D12" s="23">
        <f>D8*D10</f>
        <v>13665.005176588631</v>
      </c>
      <c r="E12" s="23">
        <f>E10*E8</f>
        <v>376.79166387668363</v>
      </c>
      <c r="F12" s="23">
        <f>F10*F8</f>
        <v>15127.909161633979</v>
      </c>
      <c r="G12" s="23"/>
      <c r="H12" s="23"/>
      <c r="I12" s="23"/>
      <c r="J12" s="23">
        <f>J10*J8</f>
        <v>451.63792096228912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7854</v>
      </c>
      <c r="C26" s="36"/>
      <c r="D26" s="225"/>
    </row>
    <row r="27" spans="1:5" s="15" customFormat="1">
      <c r="A27" s="227" t="s">
        <v>671</v>
      </c>
      <c r="B27" s="37">
        <f>SUM(HH_hh_gas_aantal,HH_rest_gas_aantal)</f>
        <v>4637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4405.1499999999996</v>
      </c>
      <c r="C31" s="34" t="s">
        <v>104</v>
      </c>
      <c r="D31" s="171"/>
    </row>
    <row r="32" spans="1:5">
      <c r="A32" s="168" t="s">
        <v>72</v>
      </c>
      <c r="B32" s="33">
        <f>IF((B21*($B$26-($B$27-0.05*$B$27)-$B$60))&lt;0,0,B21*($B$26-($B$27-0.05*$B$27)-$B$60))</f>
        <v>24.379963156584441</v>
      </c>
      <c r="C32" s="34" t="s">
        <v>104</v>
      </c>
      <c r="D32" s="171"/>
    </row>
    <row r="33" spans="1:6">
      <c r="A33" s="168" t="s">
        <v>73</v>
      </c>
      <c r="B33" s="33">
        <f>IF((B22*($B$26-($B$27-0.05*$B$27)-$B$60))&lt;0,0,B22*($B$26-($B$27-0.05*$B$27)-$B$60))</f>
        <v>698.72642706592023</v>
      </c>
      <c r="C33" s="34" t="s">
        <v>104</v>
      </c>
      <c r="D33" s="171"/>
    </row>
    <row r="34" spans="1:6">
      <c r="A34" s="168" t="s">
        <v>74</v>
      </c>
      <c r="B34" s="33">
        <f>IF((B24*($B$26-($B$27-0.05*$B$27)-$B$60))&lt;0,0,B24*($B$26-($B$27-0.05*$B$27)-$B$60))</f>
        <v>139.33343392079215</v>
      </c>
      <c r="C34" s="33">
        <f>B26*C24</f>
        <v>1605.9671860894139</v>
      </c>
      <c r="D34" s="230"/>
    </row>
    <row r="35" spans="1:6">
      <c r="A35" s="168" t="s">
        <v>76</v>
      </c>
      <c r="B35" s="33">
        <f>IF((B19*($B$26-($B$27-0.05*$B$27)-$B$60))&lt;0,0,B19*($B$26-($B$27-0.05*$B$27)-$B$60))</f>
        <v>72.559414156501319</v>
      </c>
      <c r="C35" s="33">
        <f>B35/2</f>
        <v>36.279707078250659</v>
      </c>
      <c r="D35" s="230"/>
    </row>
    <row r="36" spans="1:6">
      <c r="A36" s="168" t="s">
        <v>77</v>
      </c>
      <c r="B36" s="33">
        <f>IF((B18*($B$26-($B$27-0.05*$B$27)-$B$60))&lt;0,0,B18*($B$26-($B$27-0.05*$B$27)-$B$60))</f>
        <v>2503.8507617002024</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13986.758799868039</v>
      </c>
      <c r="C5" s="17">
        <f>IF(ISERROR('Eigen informatie GS &amp; warmtenet'!B58),0,'Eigen informatie GS &amp; warmtenet'!B58)</f>
        <v>0</v>
      </c>
      <c r="D5" s="30">
        <f>SUM(D6:D12)</f>
        <v>12506.707030135396</v>
      </c>
      <c r="E5" s="17">
        <f>SUM(E6:E12)</f>
        <v>231.72662360865797</v>
      </c>
      <c r="F5" s="17">
        <f>SUM(F6:F12)</f>
        <v>3062.0215204906526</v>
      </c>
      <c r="G5" s="18"/>
      <c r="H5" s="17"/>
      <c r="I5" s="17"/>
      <c r="J5" s="17">
        <f>SUM(J6:J12)</f>
        <v>0</v>
      </c>
      <c r="K5" s="17"/>
      <c r="L5" s="17"/>
      <c r="M5" s="17"/>
      <c r="N5" s="17">
        <f>SUM(N6:N12)</f>
        <v>404.39404771016751</v>
      </c>
      <c r="O5" s="17">
        <f>B38*B39*B40</f>
        <v>1.5633333333333335</v>
      </c>
      <c r="P5" s="17">
        <f>B46*B47*B48/1000-B46*B47*B48/1000/B49</f>
        <v>171.6</v>
      </c>
      <c r="R5" s="32"/>
    </row>
    <row r="6" spans="1:18">
      <c r="A6" s="32" t="s">
        <v>53</v>
      </c>
      <c r="B6" s="37">
        <f>B26</f>
        <v>1956.21662136231</v>
      </c>
      <c r="C6" s="33"/>
      <c r="D6" s="37">
        <f>IF(ISERROR(TER_kantoor_gas_kWh/1000),0,TER_kantoor_gas_kWh/1000)*0.902</f>
        <v>2647.7529495034223</v>
      </c>
      <c r="E6" s="33">
        <f>$C$26*'E Balans VL '!I12/100/3.6*1000000</f>
        <v>67.669466784139857</v>
      </c>
      <c r="F6" s="33">
        <f>$C$26*('E Balans VL '!L12+'E Balans VL '!N12)/100/3.6*1000000</f>
        <v>298.63723925809779</v>
      </c>
      <c r="G6" s="34"/>
      <c r="H6" s="33"/>
      <c r="I6" s="33"/>
      <c r="J6" s="33">
        <f>$C$26*('E Balans VL '!D12+'E Balans VL '!E12)/100/3.6*1000000</f>
        <v>0</v>
      </c>
      <c r="K6" s="33"/>
      <c r="L6" s="33"/>
      <c r="M6" s="33"/>
      <c r="N6" s="33">
        <f>$C$26*'E Balans VL '!Y12/100/3.6*1000000</f>
        <v>30.156009139016916</v>
      </c>
      <c r="O6" s="33"/>
      <c r="P6" s="33"/>
      <c r="R6" s="32"/>
    </row>
    <row r="7" spans="1:18">
      <c r="A7" s="32" t="s">
        <v>52</v>
      </c>
      <c r="B7" s="37">
        <f t="shared" ref="B7:B12" si="0">B27</f>
        <v>906.648964241508</v>
      </c>
      <c r="C7" s="33"/>
      <c r="D7" s="37">
        <f>IF(ISERROR(TER_horeca_gas_kWh/1000),0,TER_horeca_gas_kWh/1000)*0.902</f>
        <v>1057.4518600695521</v>
      </c>
      <c r="E7" s="33">
        <f>$C$27*'E Balans VL '!I9/100/3.6*1000000</f>
        <v>49.687244238166535</v>
      </c>
      <c r="F7" s="33">
        <f>$C$27*('E Balans VL '!L9+'E Balans VL '!N9)/100/3.6*1000000</f>
        <v>153.43533202099334</v>
      </c>
      <c r="G7" s="34"/>
      <c r="H7" s="33"/>
      <c r="I7" s="33"/>
      <c r="J7" s="33">
        <f>$C$27*('E Balans VL '!D9+'E Balans VL '!E9)/100/3.6*1000000</f>
        <v>0</v>
      </c>
      <c r="K7" s="33"/>
      <c r="L7" s="33"/>
      <c r="M7" s="33"/>
      <c r="N7" s="33">
        <f>$C$27*'E Balans VL '!Y9/100/3.6*1000000</f>
        <v>0</v>
      </c>
      <c r="O7" s="33"/>
      <c r="P7" s="33"/>
      <c r="R7" s="32"/>
    </row>
    <row r="8" spans="1:18">
      <c r="A8" s="6" t="s">
        <v>51</v>
      </c>
      <c r="B8" s="37">
        <f t="shared" si="0"/>
        <v>5120.32115902437</v>
      </c>
      <c r="C8" s="33"/>
      <c r="D8" s="37">
        <f>IF(ISERROR(TER_handel_gas_kWh/1000),0,TER_handel_gas_kWh/1000)*0.902</f>
        <v>1227.7241397909579</v>
      </c>
      <c r="E8" s="33">
        <f>$C$28*'E Balans VL '!I13/100/3.6*1000000</f>
        <v>25.904579035496521</v>
      </c>
      <c r="F8" s="33">
        <f>$C$28*('E Balans VL '!L13+'E Balans VL '!N13)/100/3.6*1000000</f>
        <v>777.99275294818869</v>
      </c>
      <c r="G8" s="34"/>
      <c r="H8" s="33"/>
      <c r="I8" s="33"/>
      <c r="J8" s="33">
        <f>$C$28*('E Balans VL '!D13+'E Balans VL '!E13)/100/3.6*1000000</f>
        <v>0</v>
      </c>
      <c r="K8" s="33"/>
      <c r="L8" s="33"/>
      <c r="M8" s="33"/>
      <c r="N8" s="33">
        <f>$C$28*'E Balans VL '!Y13/100/3.6*1000000</f>
        <v>2.3943992412820188</v>
      </c>
      <c r="O8" s="33"/>
      <c r="P8" s="33"/>
      <c r="R8" s="32"/>
    </row>
    <row r="9" spans="1:18">
      <c r="A9" s="32" t="s">
        <v>50</v>
      </c>
      <c r="B9" s="37">
        <f t="shared" si="0"/>
        <v>468.548863590238</v>
      </c>
      <c r="C9" s="33"/>
      <c r="D9" s="37">
        <f>IF(ISERROR(TER_gezond_gas_kWh/1000),0,TER_gezond_gas_kWh/1000)*0.902</f>
        <v>310.89807080754696</v>
      </c>
      <c r="E9" s="33">
        <f>$C$29*'E Balans VL '!I10/100/3.6*1000000</f>
        <v>0.17038576039261813</v>
      </c>
      <c r="F9" s="33">
        <f>$C$29*('E Balans VL '!L10+'E Balans VL '!N10)/100/3.6*1000000</f>
        <v>101.24074822123063</v>
      </c>
      <c r="G9" s="34"/>
      <c r="H9" s="33"/>
      <c r="I9" s="33"/>
      <c r="J9" s="33">
        <f>$C$29*('E Balans VL '!D10+'E Balans VL '!E10)/100/3.6*1000000</f>
        <v>0</v>
      </c>
      <c r="K9" s="33"/>
      <c r="L9" s="33"/>
      <c r="M9" s="33"/>
      <c r="N9" s="33">
        <f>$C$29*'E Balans VL '!Y10/100/3.6*1000000</f>
        <v>3.5526658553604942</v>
      </c>
      <c r="O9" s="33"/>
      <c r="P9" s="33"/>
      <c r="R9" s="32"/>
    </row>
    <row r="10" spans="1:18">
      <c r="A10" s="32" t="s">
        <v>49</v>
      </c>
      <c r="B10" s="37">
        <f t="shared" si="0"/>
        <v>1232.7400408711501</v>
      </c>
      <c r="C10" s="33"/>
      <c r="D10" s="37">
        <f>IF(ISERROR(TER_ander_gas_kWh/1000),0,TER_ander_gas_kWh/1000)*0.902</f>
        <v>358.79381189660376</v>
      </c>
      <c r="E10" s="33">
        <f>$C$30*'E Balans VL '!I14/100/3.6*1000000</f>
        <v>7.5044883332098706</v>
      </c>
      <c r="F10" s="33">
        <f>$C$30*('E Balans VL '!L14+'E Balans VL '!N14)/100/3.6*1000000</f>
        <v>326.36721952396783</v>
      </c>
      <c r="G10" s="34"/>
      <c r="H10" s="33"/>
      <c r="I10" s="33"/>
      <c r="J10" s="33">
        <f>$C$30*('E Balans VL '!D14+'E Balans VL '!E14)/100/3.6*1000000</f>
        <v>0</v>
      </c>
      <c r="K10" s="33"/>
      <c r="L10" s="33"/>
      <c r="M10" s="33"/>
      <c r="N10" s="33">
        <f>$C$30*'E Balans VL '!Y14/100/3.6*1000000</f>
        <v>256.74778095536072</v>
      </c>
      <c r="O10" s="33"/>
      <c r="P10" s="33"/>
      <c r="R10" s="32"/>
    </row>
    <row r="11" spans="1:18">
      <c r="A11" s="32" t="s">
        <v>54</v>
      </c>
      <c r="B11" s="37">
        <f t="shared" si="0"/>
        <v>564.27316808076102</v>
      </c>
      <c r="C11" s="33"/>
      <c r="D11" s="37">
        <f>IF(ISERROR(TER_onderwijs_gas_kWh/1000),0,TER_onderwijs_gas_kWh/1000)*0.902</f>
        <v>2363.115181000916</v>
      </c>
      <c r="E11" s="33">
        <f>$C$31*'E Balans VL '!I11/100/3.6*1000000</f>
        <v>0.70031185634214599</v>
      </c>
      <c r="F11" s="33">
        <f>$C$31*('E Balans VL '!L11+'E Balans VL '!N11)/100/3.6*1000000</f>
        <v>665.02547203885138</v>
      </c>
      <c r="G11" s="34"/>
      <c r="H11" s="33"/>
      <c r="I11" s="33"/>
      <c r="J11" s="33">
        <f>$C$31*('E Balans VL '!D11+'E Balans VL '!E11)/100/3.6*1000000</f>
        <v>0</v>
      </c>
      <c r="K11" s="33"/>
      <c r="L11" s="33"/>
      <c r="M11" s="33"/>
      <c r="N11" s="33">
        <f>$C$31*'E Balans VL '!Y11/100/3.6*1000000</f>
        <v>2.7084585055116177</v>
      </c>
      <c r="O11" s="33"/>
      <c r="P11" s="33"/>
      <c r="R11" s="32"/>
    </row>
    <row r="12" spans="1:18">
      <c r="A12" s="32" t="s">
        <v>249</v>
      </c>
      <c r="B12" s="37">
        <f t="shared" si="0"/>
        <v>3738.0099826977003</v>
      </c>
      <c r="C12" s="33"/>
      <c r="D12" s="37">
        <f>IF(ISERROR(TER_rest_gas_kWh/1000),0,TER_rest_gas_kWh/1000)*0.902</f>
        <v>4540.9710170663966</v>
      </c>
      <c r="E12" s="33">
        <f>$C$32*'E Balans VL '!I8/100/3.6*1000000</f>
        <v>80.090147600910441</v>
      </c>
      <c r="F12" s="33">
        <f>$C$32*('E Balans VL '!L8+'E Balans VL '!N8)/100/3.6*1000000</f>
        <v>739.32275647932352</v>
      </c>
      <c r="G12" s="34"/>
      <c r="H12" s="33"/>
      <c r="I12" s="33"/>
      <c r="J12" s="33">
        <f>$C$32*('E Balans VL '!D8+'E Balans VL '!E8)/100/3.6*1000000</f>
        <v>0</v>
      </c>
      <c r="K12" s="33"/>
      <c r="L12" s="33"/>
      <c r="M12" s="33"/>
      <c r="N12" s="33">
        <f>$C$32*'E Balans VL '!Y8/100/3.6*1000000</f>
        <v>108.83473401363572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13986.758799868039</v>
      </c>
      <c r="C16" s="21">
        <f ca="1">C5+C13+C14</f>
        <v>0</v>
      </c>
      <c r="D16" s="21">
        <f t="shared" ref="D16:N16" ca="1" si="1">MAX((D5+D13+D14),0)</f>
        <v>12506.707030135396</v>
      </c>
      <c r="E16" s="21">
        <f t="shared" si="1"/>
        <v>231.72662360865797</v>
      </c>
      <c r="F16" s="21">
        <f t="shared" ca="1" si="1"/>
        <v>3062.0215204906526</v>
      </c>
      <c r="G16" s="21">
        <f t="shared" si="1"/>
        <v>0</v>
      </c>
      <c r="H16" s="21">
        <f t="shared" si="1"/>
        <v>0</v>
      </c>
      <c r="I16" s="21">
        <f t="shared" si="1"/>
        <v>0</v>
      </c>
      <c r="J16" s="21">
        <f t="shared" si="1"/>
        <v>0</v>
      </c>
      <c r="K16" s="21">
        <f t="shared" si="1"/>
        <v>0</v>
      </c>
      <c r="L16" s="21">
        <f t="shared" ca="1" si="1"/>
        <v>0</v>
      </c>
      <c r="M16" s="21">
        <f t="shared" si="1"/>
        <v>0</v>
      </c>
      <c r="N16" s="21">
        <f t="shared" ca="1" si="1"/>
        <v>404.39404771016751</v>
      </c>
      <c r="O16" s="21">
        <f>O5</f>
        <v>1.5633333333333335</v>
      </c>
      <c r="P16" s="21">
        <f>P5</f>
        <v>171.6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0.2155234298636054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3014.4742292225251</v>
      </c>
      <c r="C20" s="23">
        <f t="shared" ref="C20:P20" ca="1" si="2">C16*C18</f>
        <v>0</v>
      </c>
      <c r="D20" s="23">
        <f t="shared" ca="1" si="2"/>
        <v>2526.3548200873502</v>
      </c>
      <c r="E20" s="23">
        <f t="shared" si="2"/>
        <v>52.601943559165363</v>
      </c>
      <c r="F20" s="23">
        <f t="shared" ca="1" si="2"/>
        <v>817.5597459710043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1956.21662136231</v>
      </c>
      <c r="C26" s="39">
        <f>IF(ISERROR(B26*3.6/1000000/'E Balans VL '!Z12*100),0,B26*3.6/1000000/'E Balans VL '!Z12*100)</f>
        <v>4.0680905106718651E-2</v>
      </c>
      <c r="D26" s="233" t="s">
        <v>676</v>
      </c>
      <c r="F26" s="6"/>
    </row>
    <row r="27" spans="1:18">
      <c r="A27" s="228" t="s">
        <v>52</v>
      </c>
      <c r="B27" s="33">
        <f>IF(ISERROR(TER_horeca_ele_kWh/1000),0,TER_horeca_ele_kWh/1000)</f>
        <v>906.648964241508</v>
      </c>
      <c r="C27" s="39">
        <f>IF(ISERROR(B27*3.6/1000000/'E Balans VL '!Z9*100),0,B27*3.6/1000000/'E Balans VL '!Z9*100)</f>
        <v>7.4572520712209003E-2</v>
      </c>
      <c r="D27" s="233" t="s">
        <v>676</v>
      </c>
      <c r="F27" s="6"/>
    </row>
    <row r="28" spans="1:18">
      <c r="A28" s="168" t="s">
        <v>51</v>
      </c>
      <c r="B28" s="33">
        <f>IF(ISERROR(TER_handel_ele_kWh/1000),0,TER_handel_ele_kWh/1000)</f>
        <v>5120.32115902437</v>
      </c>
      <c r="C28" s="39">
        <f>IF(ISERROR(B28*3.6/1000000/'E Balans VL '!Z13*100),0,B28*3.6/1000000/'E Balans VL '!Z13*100)</f>
        <v>0.14172948868584798</v>
      </c>
      <c r="D28" s="233" t="s">
        <v>676</v>
      </c>
      <c r="F28" s="6"/>
    </row>
    <row r="29" spans="1:18">
      <c r="A29" s="228" t="s">
        <v>50</v>
      </c>
      <c r="B29" s="33">
        <f>IF(ISERROR(TER_gezond_ele_kWh/1000),0,TER_gezond_ele_kWh/1000)</f>
        <v>468.548863590238</v>
      </c>
      <c r="C29" s="39">
        <f>IF(ISERROR(B29*3.6/1000000/'E Balans VL '!Z10*100),0,B29*3.6/1000000/'E Balans VL '!Z10*100)</f>
        <v>5.3434596989663914E-2</v>
      </c>
      <c r="D29" s="233" t="s">
        <v>676</v>
      </c>
      <c r="F29" s="6"/>
    </row>
    <row r="30" spans="1:18">
      <c r="A30" s="228" t="s">
        <v>49</v>
      </c>
      <c r="B30" s="33">
        <f>IF(ISERROR(TER_ander_ele_kWh/1000),0,TER_ander_ele_kWh/1000)</f>
        <v>1232.7400408711501</v>
      </c>
      <c r="C30" s="39">
        <f>IF(ISERROR(B30*3.6/1000000/'E Balans VL '!Z14*100),0,B30*3.6/1000000/'E Balans VL '!Z14*100)</f>
        <v>9.5417423002373547E-2</v>
      </c>
      <c r="D30" s="233" t="s">
        <v>676</v>
      </c>
      <c r="F30" s="6"/>
    </row>
    <row r="31" spans="1:18">
      <c r="A31" s="228" t="s">
        <v>54</v>
      </c>
      <c r="B31" s="33">
        <f>IF(ISERROR(TER_onderwijs_ele_kWh/1000),0,TER_onderwijs_ele_kWh/1000)</f>
        <v>564.27316808076102</v>
      </c>
      <c r="C31" s="39">
        <f>IF(ISERROR(B31*3.6/1000000/'E Balans VL '!Z11*100),0,B31*3.6/1000000/'E Balans VL '!Z11*100)</f>
        <v>0.1758168455379174</v>
      </c>
      <c r="D31" s="233" t="s">
        <v>676</v>
      </c>
    </row>
    <row r="32" spans="1:18">
      <c r="A32" s="228" t="s">
        <v>249</v>
      </c>
      <c r="B32" s="33">
        <f>IF(ISERROR(TER_rest_ele_kWh/1000),0,TER_rest_ele_kWh/1000)</f>
        <v>3738.0099826977003</v>
      </c>
      <c r="C32" s="39">
        <f>IF(ISERROR(B32*3.6/1000000/'E Balans VL '!Z8*100),0,B32*3.6/1000000/'E Balans VL '!Z8*100)</f>
        <v>3.0823928237982773E-2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9</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22311.476355019804</v>
      </c>
      <c r="C5" s="17">
        <f>IF(ISERROR('Eigen informatie GS &amp; warmtenet'!B59),0,'Eigen informatie GS &amp; warmtenet'!B59)</f>
        <v>0</v>
      </c>
      <c r="D5" s="30">
        <f>SUM(D6:D15)</f>
        <v>112525.74976997433</v>
      </c>
      <c r="E5" s="17">
        <f>SUM(E6:E15)</f>
        <v>211.49112701674559</v>
      </c>
      <c r="F5" s="17">
        <f>SUM(F6:F15)</f>
        <v>5203.2166054104073</v>
      </c>
      <c r="G5" s="18"/>
      <c r="H5" s="17"/>
      <c r="I5" s="17"/>
      <c r="J5" s="17">
        <f>SUM(J6:J15)</f>
        <v>148.64437543726947</v>
      </c>
      <c r="K5" s="17"/>
      <c r="L5" s="17"/>
      <c r="M5" s="17"/>
      <c r="N5" s="17">
        <f>SUM(N6:N15)</f>
        <v>469.30847243903736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646.80579362850801</v>
      </c>
      <c r="C8" s="33"/>
      <c r="D8" s="37">
        <f>IF( ISERROR(IND_metaal_Gas_kWH/1000),0,IND_metaal_Gas_kWH/1000)*0.902</f>
        <v>0</v>
      </c>
      <c r="E8" s="33">
        <f>C30*'E Balans VL '!I18/100/3.6*1000000</f>
        <v>4.544961600602579</v>
      </c>
      <c r="F8" s="33">
        <f>C30*'E Balans VL '!L18/100/3.6*1000000+C30*'E Balans VL '!N18/100/3.6*1000000</f>
        <v>71.015491954045515</v>
      </c>
      <c r="G8" s="34"/>
      <c r="H8" s="33"/>
      <c r="I8" s="33"/>
      <c r="J8" s="40">
        <f>C30*'E Balans VL '!D18/100/3.6*1000000+C30*'E Balans VL '!E18/100/3.6*1000000</f>
        <v>13.344997642442053</v>
      </c>
      <c r="K8" s="33"/>
      <c r="L8" s="33"/>
      <c r="M8" s="33"/>
      <c r="N8" s="33">
        <f>C30*'E Balans VL '!Y18/100/3.6*1000000</f>
        <v>2.4242746974229394</v>
      </c>
      <c r="O8" s="33"/>
      <c r="P8" s="33"/>
      <c r="R8" s="32"/>
    </row>
    <row r="9" spans="1:18">
      <c r="A9" s="6" t="s">
        <v>32</v>
      </c>
      <c r="B9" s="37">
        <f t="shared" si="0"/>
        <v>1405.30437882553</v>
      </c>
      <c r="C9" s="33"/>
      <c r="D9" s="37">
        <f>IF( ISERROR(IND_andere_gas_kWh/1000),0,IND_andere_gas_kWh/1000)*0.902</f>
        <v>274.8302991033263</v>
      </c>
      <c r="E9" s="33">
        <f>C31*'E Balans VL '!I19/100/3.6*1000000</f>
        <v>23.603808595204963</v>
      </c>
      <c r="F9" s="33">
        <f>C31*'E Balans VL '!L19/100/3.6*1000000+C31*'E Balans VL '!N19/100/3.6*1000000</f>
        <v>1098.5869232047864</v>
      </c>
      <c r="G9" s="34"/>
      <c r="H9" s="33"/>
      <c r="I9" s="33"/>
      <c r="J9" s="40">
        <f>C31*'E Balans VL '!D19/100/3.6*1000000+C31*'E Balans VL '!E19/100/3.6*1000000</f>
        <v>0.12674604980738999</v>
      </c>
      <c r="K9" s="33"/>
      <c r="L9" s="33"/>
      <c r="M9" s="33"/>
      <c r="N9" s="33">
        <f>C31*'E Balans VL '!Y19/100/3.6*1000000</f>
        <v>104.15560059483089</v>
      </c>
      <c r="O9" s="33"/>
      <c r="P9" s="33"/>
      <c r="R9" s="32"/>
    </row>
    <row r="10" spans="1:18">
      <c r="A10" s="6" t="s">
        <v>40</v>
      </c>
      <c r="B10" s="37">
        <f t="shared" si="0"/>
        <v>381.27740667121395</v>
      </c>
      <c r="C10" s="33"/>
      <c r="D10" s="37">
        <f>IF( ISERROR(IND_voed_gas_kWh/1000),0,IND_voed_gas_kWh/1000)*0.902</f>
        <v>437.75355144529453</v>
      </c>
      <c r="E10" s="33">
        <f>C32*'E Balans VL '!I20/100/3.6*1000000</f>
        <v>3.4786166186494318</v>
      </c>
      <c r="F10" s="33">
        <f>C32*'E Balans VL '!L20/100/3.6*1000000+C32*'E Balans VL '!N20/100/3.6*1000000</f>
        <v>61.511971355433616</v>
      </c>
      <c r="G10" s="34"/>
      <c r="H10" s="33"/>
      <c r="I10" s="33"/>
      <c r="J10" s="40">
        <f>C32*'E Balans VL '!D20/100/3.6*1000000+C32*'E Balans VL '!E20/100/3.6*1000000</f>
        <v>1.570350338240057</v>
      </c>
      <c r="K10" s="33"/>
      <c r="L10" s="33"/>
      <c r="M10" s="33"/>
      <c r="N10" s="33">
        <f>C32*'E Balans VL '!Y20/100/3.6*1000000</f>
        <v>5.5777878139267578</v>
      </c>
      <c r="O10" s="33"/>
      <c r="P10" s="33"/>
      <c r="R10" s="32"/>
    </row>
    <row r="11" spans="1:18">
      <c r="A11" s="6" t="s">
        <v>39</v>
      </c>
      <c r="B11" s="37">
        <f t="shared" si="0"/>
        <v>11.1933260756704</v>
      </c>
      <c r="C11" s="33"/>
      <c r="D11" s="37">
        <f>IF( ISERROR(IND_textiel_gas_kWh/1000),0,IND_textiel_gas_kWh/1000)*0.902</f>
        <v>0</v>
      </c>
      <c r="E11" s="33">
        <f>C33*'E Balans VL '!I21/100/3.6*1000000</f>
        <v>2.552990050538869E-2</v>
      </c>
      <c r="F11" s="33">
        <f>C33*'E Balans VL '!L21/100/3.6*1000000+C33*'E Balans VL '!N21/100/3.6*1000000</f>
        <v>0.23926772663061868</v>
      </c>
      <c r="G11" s="34"/>
      <c r="H11" s="33"/>
      <c r="I11" s="33"/>
      <c r="J11" s="40">
        <f>C33*'E Balans VL '!D21/100/3.6*1000000+C33*'E Balans VL '!E21/100/3.6*1000000</f>
        <v>0</v>
      </c>
      <c r="K11" s="33"/>
      <c r="L11" s="33"/>
      <c r="M11" s="33"/>
      <c r="N11" s="33">
        <f>C33*'E Balans VL '!Y21/100/3.6*1000000</f>
        <v>7.9403945094268596E-2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25.028132604085897</v>
      </c>
      <c r="C13" s="33"/>
      <c r="D13" s="37">
        <f>IF( ISERROR(IND_papier_gas_kWh/1000),0,IND_papier_gas_kWh/1000)*0.902</f>
        <v>0</v>
      </c>
      <c r="E13" s="33">
        <f>C35*'E Balans VL '!I23/100/3.6*1000000</f>
        <v>0.77005032261897621</v>
      </c>
      <c r="F13" s="33">
        <f>C35*'E Balans VL '!L23/100/3.6*1000000+C35*'E Balans VL '!N23/100/3.6*1000000</f>
        <v>5.3143472334036748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19841.867317214797</v>
      </c>
      <c r="C15" s="33"/>
      <c r="D15" s="37">
        <f>IF( ISERROR(IND_rest_gas_kWh/1000),0,IND_rest_gas_kWh/1000)*0.902</f>
        <v>111813.16591942571</v>
      </c>
      <c r="E15" s="33">
        <f>C37*'E Balans VL '!I15/100/3.6*1000000</f>
        <v>179.06815997916425</v>
      </c>
      <c r="F15" s="33">
        <f>C37*'E Balans VL '!L15/100/3.6*1000000+C37*'E Balans VL '!N15/100/3.6*1000000</f>
        <v>3966.5486039361076</v>
      </c>
      <c r="G15" s="34"/>
      <c r="H15" s="33"/>
      <c r="I15" s="33"/>
      <c r="J15" s="40">
        <f>C37*'E Balans VL '!D15/100/3.6*1000000+C37*'E Balans VL '!E15/100/3.6*1000000</f>
        <v>133.60228140677998</v>
      </c>
      <c r="K15" s="33"/>
      <c r="L15" s="33"/>
      <c r="M15" s="33"/>
      <c r="N15" s="33">
        <f>C37*'E Balans VL '!Y15/100/3.6*1000000</f>
        <v>357.07140538776252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22311.476355019804</v>
      </c>
      <c r="C18" s="21">
        <f>C5+C16</f>
        <v>0</v>
      </c>
      <c r="D18" s="21">
        <f>MAX((D5+D16),0)</f>
        <v>112525.74976997433</v>
      </c>
      <c r="E18" s="21">
        <f>MAX((E5+E16),0)</f>
        <v>211.49112701674559</v>
      </c>
      <c r="F18" s="21">
        <f>MAX((F5+F16),0)</f>
        <v>5203.2166054104073</v>
      </c>
      <c r="G18" s="21"/>
      <c r="H18" s="21"/>
      <c r="I18" s="21"/>
      <c r="J18" s="21">
        <f>MAX((J5+J16),0)</f>
        <v>148.64437543726947</v>
      </c>
      <c r="K18" s="21"/>
      <c r="L18" s="21">
        <f>MAX((L5+L16),0)</f>
        <v>0</v>
      </c>
      <c r="M18" s="21"/>
      <c r="N18" s="21">
        <f>MAX((N5+N16),0)</f>
        <v>469.30847243903736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0.2155234298636054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4808.6459093546009</v>
      </c>
      <c r="C22" s="23">
        <f ca="1">C18*C20</f>
        <v>0</v>
      </c>
      <c r="D22" s="23">
        <f>D18*D20</f>
        <v>22730.201453534813</v>
      </c>
      <c r="E22" s="23">
        <f>E18*E20</f>
        <v>48.008485832801249</v>
      </c>
      <c r="F22" s="23">
        <f>F18*F20</f>
        <v>1389.2588336445788</v>
      </c>
      <c r="G22" s="23"/>
      <c r="H22" s="23"/>
      <c r="I22" s="23"/>
      <c r="J22" s="23">
        <f>J18*J20</f>
        <v>52.620108904793391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646.80579362850801</v>
      </c>
      <c r="C30" s="39">
        <f>IF(ISERROR(B30*3.6/1000000/'E Balans VL '!Z18*100),0,B30*3.6/1000000/'E Balans VL '!Z18*100)</f>
        <v>4.3058256654565377E-2</v>
      </c>
      <c r="D30" s="233" t="s">
        <v>676</v>
      </c>
    </row>
    <row r="31" spans="1:18">
      <c r="A31" s="6" t="s">
        <v>32</v>
      </c>
      <c r="B31" s="37">
        <f>IF( ISERROR(IND_ander_ele_kWh/1000),0,IND_ander_ele_kWh/1000)</f>
        <v>1405.30437882553</v>
      </c>
      <c r="C31" s="39">
        <f>IF(ISERROR(B31*3.6/1000000/'E Balans VL '!Z19*100),0,B31*3.6/1000000/'E Balans VL '!Z19*100)</f>
        <v>6.2291573966771874E-2</v>
      </c>
      <c r="D31" s="233" t="s">
        <v>676</v>
      </c>
    </row>
    <row r="32" spans="1:18">
      <c r="A32" s="168" t="s">
        <v>40</v>
      </c>
      <c r="B32" s="37">
        <f>IF( ISERROR(IND_voed_ele_kWh/1000),0,IND_voed_ele_kWh/1000)</f>
        <v>381.27740667121395</v>
      </c>
      <c r="C32" s="39">
        <f>IF(ISERROR(B32*3.6/1000000/'E Balans VL '!Z20*100),0,B32*3.6/1000000/'E Balans VL '!Z20*100)</f>
        <v>1.2735759126140236E-2</v>
      </c>
      <c r="D32" s="233" t="s">
        <v>676</v>
      </c>
    </row>
    <row r="33" spans="1:5">
      <c r="A33" s="168" t="s">
        <v>39</v>
      </c>
      <c r="B33" s="37">
        <f>IF( ISERROR(IND_textiel_ele_kWh/1000),0,IND_textiel_ele_kWh/1000)</f>
        <v>11.1933260756704</v>
      </c>
      <c r="C33" s="39">
        <f>IF(ISERROR(B33*3.6/1000000/'E Balans VL '!Z21*100),0,B33*3.6/1000000/'E Balans VL '!Z21*100)</f>
        <v>1.4736271901194299E-3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25.028132604085897</v>
      </c>
      <c r="C35" s="39">
        <f>IF(ISERROR(B35*3.6/1000000/'E Balans VL '!Z22*100),0,B35*3.6/1000000/'E Balans VL '!Z22*100)</f>
        <v>4.8676968730853587E-3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19841.867317214797</v>
      </c>
      <c r="C37" s="39">
        <f>IF(ISERROR(B37*3.6/1000000/'E Balans VL '!Z15*100),0,B37*3.6/1000000/'E Balans VL '!Z15*100)</f>
        <v>0.147591167673148</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115.77760668970801</v>
      </c>
      <c r="C5" s="17">
        <f>'Eigen informatie GS &amp; warmtenet'!B60</f>
        <v>0</v>
      </c>
      <c r="D5" s="30">
        <f>IF(ISERROR(SUM(LB_lb_gas_kWh,LB_rest_gas_kWh)/1000),0,SUM(LB_lb_gas_kWh,LB_rest_gas_kWh)/1000)*0.902</f>
        <v>35.259865446899937</v>
      </c>
      <c r="E5" s="17">
        <f>B17*'E Balans VL '!I25/3.6*1000000/100</f>
        <v>1.0433031451089099</v>
      </c>
      <c r="F5" s="17">
        <f>B17*('E Balans VL '!L25/3.6*1000000+'E Balans VL '!N25/3.6*1000000)/100</f>
        <v>433.82222336641195</v>
      </c>
      <c r="G5" s="18"/>
      <c r="H5" s="17"/>
      <c r="I5" s="17"/>
      <c r="J5" s="17">
        <f>('E Balans VL '!D25+'E Balans VL '!E25)/3.6*1000000*landbouw!B17/100</f>
        <v>11.716214954188038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115.77760668970801</v>
      </c>
      <c r="C8" s="21">
        <f>C5+C6</f>
        <v>0</v>
      </c>
      <c r="D8" s="21">
        <f>MAX((D5+D6),0)</f>
        <v>35.259865446899937</v>
      </c>
      <c r="E8" s="21">
        <f>MAX((E5+E6),0)</f>
        <v>1.0433031451089099</v>
      </c>
      <c r="F8" s="21">
        <f>MAX((F5+F6),0)</f>
        <v>433.82222336641195</v>
      </c>
      <c r="G8" s="21"/>
      <c r="H8" s="21"/>
      <c r="I8" s="21"/>
      <c r="J8" s="21">
        <f>MAX((J5+J6),0)</f>
        <v>11.716214954188038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0.2155234298636054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24.952786895165374</v>
      </c>
      <c r="C12" s="23">
        <f ca="1">C8*C10</f>
        <v>0</v>
      </c>
      <c r="D12" s="23">
        <f>D8*D10</f>
        <v>7.1224928202737878</v>
      </c>
      <c r="E12" s="23">
        <f>E8*E10</f>
        <v>0.23682981393972255</v>
      </c>
      <c r="F12" s="23">
        <f>F8*F10</f>
        <v>115.83053363883199</v>
      </c>
      <c r="G12" s="23"/>
      <c r="H12" s="23"/>
      <c r="I12" s="23"/>
      <c r="J12" s="23">
        <f>J8*J10</f>
        <v>4.1475400937825651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1.7820408590365048E-2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32.092763247472611</v>
      </c>
      <c r="C26" s="243">
        <f>B26*'GWP N2O_CH4'!B5</f>
        <v>673.94802819692484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4.5084484244997789</v>
      </c>
      <c r="C27" s="243">
        <f>B27*'GWP N2O_CH4'!B5</f>
        <v>94.677416914495353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0.46892673061356716</v>
      </c>
      <c r="C28" s="243">
        <f>B28*'GWP N2O_CH4'!B4</f>
        <v>145.36728649020583</v>
      </c>
      <c r="D28" s="50"/>
    </row>
    <row r="29" spans="1:4">
      <c r="A29" s="41" t="s">
        <v>266</v>
      </c>
      <c r="B29" s="243">
        <f>B34*'ha_N2O bodem landbouw'!B4</f>
        <v>2.250674525775112</v>
      </c>
      <c r="C29" s="243">
        <f>B29*'GWP N2O_CH4'!B4</f>
        <v>697.70910299028469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5.8434490921094112E-4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2.2052928251271562E-6</v>
      </c>
      <c r="C5" s="431" t="s">
        <v>204</v>
      </c>
      <c r="D5" s="416">
        <f>SUM(D6:D11)</f>
        <v>8.9681476522676296E-6</v>
      </c>
      <c r="E5" s="416">
        <f>SUM(E6:E11)</f>
        <v>9.1607693571537111E-4</v>
      </c>
      <c r="F5" s="429" t="s">
        <v>204</v>
      </c>
      <c r="G5" s="416">
        <f>SUM(G6:G11)</f>
        <v>0.14431282090856068</v>
      </c>
      <c r="H5" s="416">
        <f>SUM(H6:H11)</f>
        <v>3.0357498932519392E-2</v>
      </c>
      <c r="I5" s="431" t="s">
        <v>204</v>
      </c>
      <c r="J5" s="431" t="s">
        <v>204</v>
      </c>
      <c r="K5" s="431" t="s">
        <v>204</v>
      </c>
      <c r="L5" s="431" t="s">
        <v>204</v>
      </c>
      <c r="M5" s="416">
        <f>SUM(M6:M11)</f>
        <v>7.6140835669414597E-3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9.3222097520962055E-7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2.9425339413686961E-6</v>
      </c>
      <c r="E6" s="419">
        <f>vkm_GW_PW*SUMIFS(TableVerdeelsleutelVkm[LPG],TableVerdeelsleutelVkm[Voertuigtype],"Lichte voertuigen")*SUMIFS(TableECFTransport[EnergieConsumptieFactor (PJ per km)],TableECFTransport[Index],CONCATENATE($A6,"_LPG_LPG"))</f>
        <v>3.0560705093349083E-4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4.0793190926185781E-2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1.0245491642486981E-2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2.2288866194296276E-3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2.922442150296864E-8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1.3173654034605693E-2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3.8762625308806808E-7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5.6752791838302486E-4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9.9594580350218624E-7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5.3319410192904751E-6</v>
      </c>
      <c r="E8" s="419">
        <f>vkm_NGW_PW*SUMIFS(TableVerdeelsleutelVkm[LPG],TableVerdeelsleutelVkm[Voertuigtype],"Lichte voertuigen")*SUMIFS(TableECFTransport[EnergieConsumptieFactor (PJ per km)],TableECFTransport[Index],CONCATENATE($A8,"_LPG_LPG"))</f>
        <v>5.2119798958438703E-4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6.6181646817838211E-2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1.7533943154100628E-2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3.6580519626474429E-3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1.0671785873745516E-8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6.6634086723809374E-3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1.708522919068407E-7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2.8706197653240021E-4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2.2244105451465898E-7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6.9367269160845962E-7</v>
      </c>
      <c r="E10" s="419">
        <f>vkm_SW_PW*SUMIFS(TableVerdeelsleutelVkm[LPG],TableVerdeelsleutelVkm[Voertuigtype],"Lichte voertuigen")*SUMIFS(TableECFTransport[EnergieConsumptieFactor (PJ per km)],TableECFTransport[Index],CONCATENATE($A10,"_LPG_LPG"))</f>
        <v>8.9271895197493302E-5</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1.106837886080384E-2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2.5773037602403836E-3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5.9543724650537274E-4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1.478878452397556E-8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6.4325415967462218E-3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2.0189714640363174E-7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2.7711784344359178E-4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0.61258134031309885</v>
      </c>
      <c r="C14" s="21"/>
      <c r="D14" s="21">
        <f t="shared" ref="D14:M14" si="0">((D5)*10^9/3600)+D12</f>
        <v>2.4911521256298972</v>
      </c>
      <c r="E14" s="21">
        <f t="shared" si="0"/>
        <v>254.465815476492</v>
      </c>
      <c r="F14" s="21"/>
      <c r="G14" s="21">
        <f t="shared" si="0"/>
        <v>40086.894696822412</v>
      </c>
      <c r="H14" s="21">
        <f t="shared" si="0"/>
        <v>8432.6385923664984</v>
      </c>
      <c r="I14" s="21"/>
      <c r="J14" s="21"/>
      <c r="K14" s="21"/>
      <c r="L14" s="21"/>
      <c r="M14" s="21">
        <f t="shared" si="0"/>
        <v>2115.0232130392942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0.2155234298636054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0.13202563153472355</v>
      </c>
      <c r="C18" s="23"/>
      <c r="D18" s="23">
        <f t="shared" ref="D18:M18" si="1">D14*D16</f>
        <v>0.50321272937723927</v>
      </c>
      <c r="E18" s="23">
        <f t="shared" si="1"/>
        <v>57.763740113163685</v>
      </c>
      <c r="F18" s="23"/>
      <c r="G18" s="23">
        <f t="shared" si="1"/>
        <v>10703.200884051585</v>
      </c>
      <c r="H18" s="23">
        <f t="shared" si="1"/>
        <v>2099.7270094992582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1.6441635360529743E-5</v>
      </c>
      <c r="C50" s="313">
        <f t="shared" ref="C50:P50" si="2">SUM(C51:C52)</f>
        <v>0</v>
      </c>
      <c r="D50" s="313">
        <f t="shared" si="2"/>
        <v>0</v>
      </c>
      <c r="E50" s="313">
        <f t="shared" si="2"/>
        <v>0</v>
      </c>
      <c r="F50" s="313">
        <f t="shared" si="2"/>
        <v>0</v>
      </c>
      <c r="G50" s="313">
        <f t="shared" si="2"/>
        <v>3.5668477197767947E-3</v>
      </c>
      <c r="H50" s="313">
        <f t="shared" si="2"/>
        <v>0</v>
      </c>
      <c r="I50" s="313">
        <f t="shared" si="2"/>
        <v>0</v>
      </c>
      <c r="J50" s="313">
        <f t="shared" si="2"/>
        <v>0</v>
      </c>
      <c r="K50" s="313">
        <f t="shared" si="2"/>
        <v>0</v>
      </c>
      <c r="L50" s="313">
        <f t="shared" si="2"/>
        <v>0</v>
      </c>
      <c r="M50" s="313">
        <f t="shared" si="2"/>
        <v>1.527187182105067E-4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1.6441635360529743E-5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3.5668477197767947E-3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1.527187182105067E-4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4.5671209334804832</v>
      </c>
      <c r="C54" s="21">
        <f t="shared" ref="C54:P54" si="3">(C50)*10^9/3600</f>
        <v>0</v>
      </c>
      <c r="D54" s="21">
        <f t="shared" si="3"/>
        <v>0</v>
      </c>
      <c r="E54" s="21">
        <f t="shared" si="3"/>
        <v>0</v>
      </c>
      <c r="F54" s="21">
        <f t="shared" si="3"/>
        <v>0</v>
      </c>
      <c r="G54" s="21">
        <f t="shared" si="3"/>
        <v>990.79103327133191</v>
      </c>
      <c r="H54" s="21">
        <f t="shared" si="3"/>
        <v>0</v>
      </c>
      <c r="I54" s="21">
        <f t="shared" si="3"/>
        <v>0</v>
      </c>
      <c r="J54" s="21">
        <f t="shared" si="3"/>
        <v>0</v>
      </c>
      <c r="K54" s="21">
        <f t="shared" si="3"/>
        <v>0</v>
      </c>
      <c r="L54" s="21">
        <f t="shared" si="3"/>
        <v>0</v>
      </c>
      <c r="M54" s="21">
        <f t="shared" si="3"/>
        <v>42.421866169585194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0.2155234298636054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0.98432156818558492</v>
      </c>
      <c r="C58" s="23">
        <f t="shared" ref="C58:P58" ca="1" si="4">C54*C56</f>
        <v>0</v>
      </c>
      <c r="D58" s="23">
        <f t="shared" si="4"/>
        <v>0</v>
      </c>
      <c r="E58" s="23">
        <f t="shared" si="4"/>
        <v>0</v>
      </c>
      <c r="F58" s="23">
        <f t="shared" si="4"/>
        <v>0</v>
      </c>
      <c r="G58" s="23">
        <f t="shared" si="4"/>
        <v>264.54120588344563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1829.2180021152133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1829.2180021152133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15194.77079986804</v>
      </c>
      <c r="D10" s="635">
        <f ca="1">tertiair!C16</f>
        <v>0</v>
      </c>
      <c r="E10" s="635">
        <f ca="1">tertiair!D16</f>
        <v>12506.707030135396</v>
      </c>
      <c r="F10" s="635">
        <f>tertiair!E16</f>
        <v>231.72662360865797</v>
      </c>
      <c r="G10" s="635">
        <f ca="1">tertiair!F16</f>
        <v>3062.0215204906526</v>
      </c>
      <c r="H10" s="635">
        <f>tertiair!G16</f>
        <v>0</v>
      </c>
      <c r="I10" s="635">
        <f>tertiair!H16</f>
        <v>0</v>
      </c>
      <c r="J10" s="635">
        <f>tertiair!I16</f>
        <v>0</v>
      </c>
      <c r="K10" s="635">
        <f>tertiair!J16</f>
        <v>0</v>
      </c>
      <c r="L10" s="635">
        <f>tertiair!K16</f>
        <v>0</v>
      </c>
      <c r="M10" s="635">
        <f ca="1">tertiair!L16</f>
        <v>0</v>
      </c>
      <c r="N10" s="635">
        <f>tertiair!M16</f>
        <v>0</v>
      </c>
      <c r="O10" s="635">
        <f ca="1">tertiair!N16</f>
        <v>404.39404771016751</v>
      </c>
      <c r="P10" s="635">
        <f>tertiair!O16</f>
        <v>1.5633333333333335</v>
      </c>
      <c r="Q10" s="636">
        <f>tertiair!P16</f>
        <v>171.6</v>
      </c>
      <c r="R10" s="638">
        <f ca="1">SUM(C10:Q10)</f>
        <v>31572.783355146246</v>
      </c>
      <c r="S10" s="67"/>
    </row>
    <row r="11" spans="1:19" s="441" customFormat="1">
      <c r="A11" s="749" t="s">
        <v>214</v>
      </c>
      <c r="B11" s="754"/>
      <c r="C11" s="635">
        <f>huishoudens!B8</f>
        <v>34849.327824046566</v>
      </c>
      <c r="D11" s="635">
        <f>huishoudens!C8</f>
        <v>0</v>
      </c>
      <c r="E11" s="635">
        <f>huishoudens!D8</f>
        <v>67648.540478161536</v>
      </c>
      <c r="F11" s="635">
        <f>huishoudens!E8</f>
        <v>1659.8751712629235</v>
      </c>
      <c r="G11" s="635">
        <f>huishoudens!F8</f>
        <v>56658.835811363213</v>
      </c>
      <c r="H11" s="635">
        <f>huishoudens!G8</f>
        <v>0</v>
      </c>
      <c r="I11" s="635">
        <f>huishoudens!H8</f>
        <v>0</v>
      </c>
      <c r="J11" s="635">
        <f>huishoudens!I8</f>
        <v>0</v>
      </c>
      <c r="K11" s="635">
        <f>huishoudens!J8</f>
        <v>1275.8133360516642</v>
      </c>
      <c r="L11" s="635">
        <f>huishoudens!K8</f>
        <v>0</v>
      </c>
      <c r="M11" s="635">
        <f>huishoudens!L8</f>
        <v>0</v>
      </c>
      <c r="N11" s="635">
        <f>huishoudens!M8</f>
        <v>0</v>
      </c>
      <c r="O11" s="635">
        <f>huishoudens!N8</f>
        <v>9535.1669220214571</v>
      </c>
      <c r="P11" s="635">
        <f>huishoudens!O8</f>
        <v>54.716666666666669</v>
      </c>
      <c r="Q11" s="636">
        <f>huishoudens!P8</f>
        <v>190.66666666666669</v>
      </c>
      <c r="R11" s="638">
        <f>SUM(C11:Q11)</f>
        <v>171872.94287624068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22311.476355019804</v>
      </c>
      <c r="D13" s="635">
        <f>industrie!C18</f>
        <v>0</v>
      </c>
      <c r="E13" s="635">
        <f>industrie!D18</f>
        <v>112525.74976997433</v>
      </c>
      <c r="F13" s="635">
        <f>industrie!E18</f>
        <v>211.49112701674559</v>
      </c>
      <c r="G13" s="635">
        <f>industrie!F18</f>
        <v>5203.2166054104073</v>
      </c>
      <c r="H13" s="635">
        <f>industrie!G18</f>
        <v>0</v>
      </c>
      <c r="I13" s="635">
        <f>industrie!H18</f>
        <v>0</v>
      </c>
      <c r="J13" s="635">
        <f>industrie!I18</f>
        <v>0</v>
      </c>
      <c r="K13" s="635">
        <f>industrie!J18</f>
        <v>148.64437543726947</v>
      </c>
      <c r="L13" s="635">
        <f>industrie!K18</f>
        <v>0</v>
      </c>
      <c r="M13" s="635">
        <f>industrie!L18</f>
        <v>0</v>
      </c>
      <c r="N13" s="635">
        <f>industrie!M18</f>
        <v>0</v>
      </c>
      <c r="O13" s="635">
        <f>industrie!N18</f>
        <v>469.30847243903736</v>
      </c>
      <c r="P13" s="635">
        <f>industrie!O18</f>
        <v>0</v>
      </c>
      <c r="Q13" s="636">
        <f>industrie!P18</f>
        <v>0</v>
      </c>
      <c r="R13" s="638">
        <f>SUM(C13:Q13)</f>
        <v>140869.8867052976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72355.574978934412</v>
      </c>
      <c r="D16" s="668">
        <f t="shared" ref="D16:R16" ca="1" si="0">SUM(D9:D15)</f>
        <v>0</v>
      </c>
      <c r="E16" s="668">
        <f t="shared" ca="1" si="0"/>
        <v>192680.99727827124</v>
      </c>
      <c r="F16" s="668">
        <f t="shared" si="0"/>
        <v>2103.0929218883271</v>
      </c>
      <c r="G16" s="668">
        <f t="shared" ca="1" si="0"/>
        <v>64924.073937264278</v>
      </c>
      <c r="H16" s="668">
        <f t="shared" si="0"/>
        <v>0</v>
      </c>
      <c r="I16" s="668">
        <f t="shared" si="0"/>
        <v>0</v>
      </c>
      <c r="J16" s="668">
        <f t="shared" si="0"/>
        <v>0</v>
      </c>
      <c r="K16" s="668">
        <f t="shared" si="0"/>
        <v>1424.4577114889337</v>
      </c>
      <c r="L16" s="668">
        <f t="shared" si="0"/>
        <v>0</v>
      </c>
      <c r="M16" s="668">
        <f t="shared" ca="1" si="0"/>
        <v>0</v>
      </c>
      <c r="N16" s="668">
        <f t="shared" si="0"/>
        <v>0</v>
      </c>
      <c r="O16" s="668">
        <f t="shared" ca="1" si="0"/>
        <v>10408.869442170662</v>
      </c>
      <c r="P16" s="668">
        <f t="shared" si="0"/>
        <v>56.28</v>
      </c>
      <c r="Q16" s="668">
        <f t="shared" si="0"/>
        <v>362.26666666666665</v>
      </c>
      <c r="R16" s="668">
        <f t="shared" ca="1" si="0"/>
        <v>344315.61293668451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4.5671209334804832</v>
      </c>
      <c r="D19" s="635">
        <f>transport!C54</f>
        <v>0</v>
      </c>
      <c r="E19" s="635">
        <f>transport!D54</f>
        <v>0</v>
      </c>
      <c r="F19" s="635">
        <f>transport!E54</f>
        <v>0</v>
      </c>
      <c r="G19" s="635">
        <f>transport!F54</f>
        <v>0</v>
      </c>
      <c r="H19" s="635">
        <f>transport!G54</f>
        <v>990.79103327133191</v>
      </c>
      <c r="I19" s="635">
        <f>transport!H54</f>
        <v>0</v>
      </c>
      <c r="J19" s="635">
        <f>transport!I54</f>
        <v>0</v>
      </c>
      <c r="K19" s="635">
        <f>transport!J54</f>
        <v>0</v>
      </c>
      <c r="L19" s="635">
        <f>transport!K54</f>
        <v>0</v>
      </c>
      <c r="M19" s="635">
        <f>transport!L54</f>
        <v>0</v>
      </c>
      <c r="N19" s="635">
        <f>transport!M54</f>
        <v>42.421866169585194</v>
      </c>
      <c r="O19" s="635">
        <f>transport!N54</f>
        <v>0</v>
      </c>
      <c r="P19" s="635">
        <f>transport!O54</f>
        <v>0</v>
      </c>
      <c r="Q19" s="636">
        <f>transport!P54</f>
        <v>0</v>
      </c>
      <c r="R19" s="638">
        <f>SUM(C19:Q19)</f>
        <v>1037.7800203743975</v>
      </c>
      <c r="S19" s="67"/>
    </row>
    <row r="20" spans="1:19" s="441" customFormat="1">
      <c r="A20" s="749" t="s">
        <v>296</v>
      </c>
      <c r="B20" s="754"/>
      <c r="C20" s="635">
        <f>transport!B14</f>
        <v>0.61258134031309885</v>
      </c>
      <c r="D20" s="635">
        <f>transport!C14</f>
        <v>0</v>
      </c>
      <c r="E20" s="635">
        <f>transport!D14</f>
        <v>2.4911521256298972</v>
      </c>
      <c r="F20" s="635">
        <f>transport!E14</f>
        <v>254.465815476492</v>
      </c>
      <c r="G20" s="635">
        <f>transport!F14</f>
        <v>0</v>
      </c>
      <c r="H20" s="635">
        <f>transport!G14</f>
        <v>40086.894696822412</v>
      </c>
      <c r="I20" s="635">
        <f>transport!H14</f>
        <v>8432.6385923664984</v>
      </c>
      <c r="J20" s="635">
        <f>transport!I14</f>
        <v>0</v>
      </c>
      <c r="K20" s="635">
        <f>transport!J14</f>
        <v>0</v>
      </c>
      <c r="L20" s="635">
        <f>transport!K14</f>
        <v>0</v>
      </c>
      <c r="M20" s="635">
        <f>transport!L14</f>
        <v>0</v>
      </c>
      <c r="N20" s="635">
        <f>transport!M14</f>
        <v>2115.0232130392942</v>
      </c>
      <c r="O20" s="635">
        <f>transport!N14</f>
        <v>0</v>
      </c>
      <c r="P20" s="635">
        <f>transport!O14</f>
        <v>0</v>
      </c>
      <c r="Q20" s="636">
        <f>transport!P14</f>
        <v>0</v>
      </c>
      <c r="R20" s="638">
        <f>SUM(C20:Q20)</f>
        <v>50892.126051170635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5.1797022737935823</v>
      </c>
      <c r="D22" s="752">
        <f t="shared" ref="D22:R22" si="1">SUM(D18:D21)</f>
        <v>0</v>
      </c>
      <c r="E22" s="752">
        <f t="shared" si="1"/>
        <v>2.4911521256298972</v>
      </c>
      <c r="F22" s="752">
        <f t="shared" si="1"/>
        <v>254.465815476492</v>
      </c>
      <c r="G22" s="752">
        <f t="shared" si="1"/>
        <v>0</v>
      </c>
      <c r="H22" s="752">
        <f t="shared" si="1"/>
        <v>41077.685730093741</v>
      </c>
      <c r="I22" s="752">
        <f t="shared" si="1"/>
        <v>8432.6385923664984</v>
      </c>
      <c r="J22" s="752">
        <f t="shared" si="1"/>
        <v>0</v>
      </c>
      <c r="K22" s="752">
        <f t="shared" si="1"/>
        <v>0</v>
      </c>
      <c r="L22" s="752">
        <f t="shared" si="1"/>
        <v>0</v>
      </c>
      <c r="M22" s="752">
        <f t="shared" si="1"/>
        <v>0</v>
      </c>
      <c r="N22" s="752">
        <f t="shared" si="1"/>
        <v>2157.4450792088792</v>
      </c>
      <c r="O22" s="752">
        <f t="shared" si="1"/>
        <v>0</v>
      </c>
      <c r="P22" s="752">
        <f t="shared" si="1"/>
        <v>0</v>
      </c>
      <c r="Q22" s="752">
        <f t="shared" si="1"/>
        <v>0</v>
      </c>
      <c r="R22" s="752">
        <f t="shared" si="1"/>
        <v>51929.906071545032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115.77760668970801</v>
      </c>
      <c r="D24" s="635">
        <f>+landbouw!C8</f>
        <v>0</v>
      </c>
      <c r="E24" s="635">
        <f>+landbouw!D8</f>
        <v>35.259865446899937</v>
      </c>
      <c r="F24" s="635">
        <f>+landbouw!E8</f>
        <v>1.0433031451089099</v>
      </c>
      <c r="G24" s="635">
        <f>+landbouw!F8</f>
        <v>433.82222336641195</v>
      </c>
      <c r="H24" s="635">
        <f>+landbouw!G8</f>
        <v>0</v>
      </c>
      <c r="I24" s="635">
        <f>+landbouw!H8</f>
        <v>0</v>
      </c>
      <c r="J24" s="635">
        <f>+landbouw!I8</f>
        <v>0</v>
      </c>
      <c r="K24" s="635">
        <f>+landbouw!J8</f>
        <v>11.716214954188038</v>
      </c>
      <c r="L24" s="635">
        <f>+landbouw!K8</f>
        <v>0</v>
      </c>
      <c r="M24" s="635">
        <f>+landbouw!L8</f>
        <v>0</v>
      </c>
      <c r="N24" s="635">
        <f>+landbouw!M8</f>
        <v>0</v>
      </c>
      <c r="O24" s="635">
        <f>+landbouw!N8</f>
        <v>0</v>
      </c>
      <c r="P24" s="635">
        <f>+landbouw!O8</f>
        <v>0</v>
      </c>
      <c r="Q24" s="636">
        <f>+landbouw!P8</f>
        <v>0</v>
      </c>
      <c r="R24" s="638">
        <f>SUM(C24:Q24)</f>
        <v>597.61921360231679</v>
      </c>
      <c r="S24" s="67"/>
    </row>
    <row r="25" spans="1:19" s="441" customFormat="1" ht="15" thickBot="1">
      <c r="A25" s="771" t="s">
        <v>864</v>
      </c>
      <c r="B25" s="923"/>
      <c r="C25" s="924">
        <f>IF(Onbekend_ele_kWh="---",0,Onbekend_ele_kWh)/1000+IF(REST_rest_ele_kWh="---",0,REST_rest_ele_kWh)/1000</f>
        <v>1339.22618855563</v>
      </c>
      <c r="D25" s="924"/>
      <c r="E25" s="924">
        <f>IF(onbekend_gas_kWh="---",0,onbekend_gas_kWh)/1000+IF(REST_rest_gas_kWh="---",0,REST_rest_gas_kWh)/1000</f>
        <v>2508.5314466681498</v>
      </c>
      <c r="F25" s="924"/>
      <c r="G25" s="924"/>
      <c r="H25" s="924"/>
      <c r="I25" s="924"/>
      <c r="J25" s="924"/>
      <c r="K25" s="924"/>
      <c r="L25" s="924"/>
      <c r="M25" s="924"/>
      <c r="N25" s="924"/>
      <c r="O25" s="924"/>
      <c r="P25" s="924"/>
      <c r="Q25" s="925"/>
      <c r="R25" s="638">
        <f>SUM(C25:Q25)</f>
        <v>3847.7576352237797</v>
      </c>
      <c r="S25" s="67"/>
    </row>
    <row r="26" spans="1:19" s="441" customFormat="1" ht="15.75" thickBot="1">
      <c r="A26" s="641" t="s">
        <v>865</v>
      </c>
      <c r="B26" s="757"/>
      <c r="C26" s="752">
        <f>SUM(C24:C25)</f>
        <v>1455.0037952453379</v>
      </c>
      <c r="D26" s="752">
        <f t="shared" ref="D26:R26" si="2">SUM(D24:D25)</f>
        <v>0</v>
      </c>
      <c r="E26" s="752">
        <f t="shared" si="2"/>
        <v>2543.7913121150495</v>
      </c>
      <c r="F26" s="752">
        <f t="shared" si="2"/>
        <v>1.0433031451089099</v>
      </c>
      <c r="G26" s="752">
        <f t="shared" si="2"/>
        <v>433.82222336641195</v>
      </c>
      <c r="H26" s="752">
        <f t="shared" si="2"/>
        <v>0</v>
      </c>
      <c r="I26" s="752">
        <f t="shared" si="2"/>
        <v>0</v>
      </c>
      <c r="J26" s="752">
        <f t="shared" si="2"/>
        <v>0</v>
      </c>
      <c r="K26" s="752">
        <f t="shared" si="2"/>
        <v>11.716214954188038</v>
      </c>
      <c r="L26" s="752">
        <f t="shared" si="2"/>
        <v>0</v>
      </c>
      <c r="M26" s="752">
        <f t="shared" si="2"/>
        <v>0</v>
      </c>
      <c r="N26" s="752">
        <f t="shared" si="2"/>
        <v>0</v>
      </c>
      <c r="O26" s="752">
        <f t="shared" si="2"/>
        <v>0</v>
      </c>
      <c r="P26" s="752">
        <f t="shared" si="2"/>
        <v>0</v>
      </c>
      <c r="Q26" s="752">
        <f t="shared" si="2"/>
        <v>0</v>
      </c>
      <c r="R26" s="752">
        <f t="shared" si="2"/>
        <v>4445.3768488260966</v>
      </c>
      <c r="S26" s="67"/>
    </row>
    <row r="27" spans="1:19" s="441" customFormat="1" ht="17.25" thickTop="1" thickBot="1">
      <c r="A27" s="642" t="s">
        <v>109</v>
      </c>
      <c r="B27" s="744"/>
      <c r="C27" s="643">
        <f ca="1">C22+C16+C26</f>
        <v>73815.758476453542</v>
      </c>
      <c r="D27" s="643">
        <f t="shared" ref="D27:R27" ca="1" si="3">D22+D16+D26</f>
        <v>0</v>
      </c>
      <c r="E27" s="643">
        <f t="shared" ca="1" si="3"/>
        <v>195227.27974251195</v>
      </c>
      <c r="F27" s="643">
        <f t="shared" si="3"/>
        <v>2358.602040509928</v>
      </c>
      <c r="G27" s="643">
        <f t="shared" ca="1" si="3"/>
        <v>65357.896160630691</v>
      </c>
      <c r="H27" s="643">
        <f t="shared" si="3"/>
        <v>41077.685730093741</v>
      </c>
      <c r="I27" s="643">
        <f t="shared" si="3"/>
        <v>8432.6385923664984</v>
      </c>
      <c r="J27" s="643">
        <f t="shared" si="3"/>
        <v>0</v>
      </c>
      <c r="K27" s="643">
        <f t="shared" si="3"/>
        <v>1436.1739264431217</v>
      </c>
      <c r="L27" s="643">
        <f t="shared" si="3"/>
        <v>0</v>
      </c>
      <c r="M27" s="643">
        <f t="shared" ca="1" si="3"/>
        <v>0</v>
      </c>
      <c r="N27" s="643">
        <f t="shared" si="3"/>
        <v>2157.4450792088792</v>
      </c>
      <c r="O27" s="643">
        <f t="shared" ca="1" si="3"/>
        <v>10408.869442170662</v>
      </c>
      <c r="P27" s="643">
        <f t="shared" si="3"/>
        <v>56.28</v>
      </c>
      <c r="Q27" s="643">
        <f t="shared" si="3"/>
        <v>362.26666666666665</v>
      </c>
      <c r="R27" s="643">
        <f t="shared" ca="1" si="3"/>
        <v>400690.89585705561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3274.8291187789187</v>
      </c>
      <c r="D40" s="635">
        <f ca="1">tertiair!C20</f>
        <v>0</v>
      </c>
      <c r="E40" s="635">
        <f ca="1">tertiair!D20</f>
        <v>2526.3548200873502</v>
      </c>
      <c r="F40" s="635">
        <f>tertiair!E20</f>
        <v>52.601943559165363</v>
      </c>
      <c r="G40" s="635">
        <f ca="1">tertiair!F20</f>
        <v>817.5597459710043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6671.3456283964379</v>
      </c>
    </row>
    <row r="41" spans="1:18">
      <c r="A41" s="762" t="s">
        <v>214</v>
      </c>
      <c r="B41" s="769"/>
      <c r="C41" s="635">
        <f ca="1">huishoudens!B12</f>
        <v>7510.8466610796922</v>
      </c>
      <c r="D41" s="635">
        <f ca="1">huishoudens!C12</f>
        <v>0</v>
      </c>
      <c r="E41" s="635">
        <f>huishoudens!D12</f>
        <v>13665.005176588631</v>
      </c>
      <c r="F41" s="635">
        <f>huishoudens!E12</f>
        <v>376.79166387668363</v>
      </c>
      <c r="G41" s="635">
        <f>huishoudens!F12</f>
        <v>15127.909161633979</v>
      </c>
      <c r="H41" s="635">
        <f>huishoudens!G12</f>
        <v>0</v>
      </c>
      <c r="I41" s="635">
        <f>huishoudens!H12</f>
        <v>0</v>
      </c>
      <c r="J41" s="635">
        <f>huishoudens!I12</f>
        <v>0</v>
      </c>
      <c r="K41" s="635">
        <f>huishoudens!J12</f>
        <v>451.63792096228912</v>
      </c>
      <c r="L41" s="635">
        <f>huishoudens!K12</f>
        <v>0</v>
      </c>
      <c r="M41" s="635">
        <f>huishoudens!L12</f>
        <v>0</v>
      </c>
      <c r="N41" s="635">
        <f>huishoudens!M12</f>
        <v>0</v>
      </c>
      <c r="O41" s="635">
        <f>huishoudens!N12</f>
        <v>0</v>
      </c>
      <c r="P41" s="635">
        <f>huishoudens!O12</f>
        <v>0</v>
      </c>
      <c r="Q41" s="710">
        <f>huishoudens!P12</f>
        <v>0</v>
      </c>
      <c r="R41" s="790">
        <f t="shared" ca="1" si="4"/>
        <v>37132.190584141274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4808.6459093546009</v>
      </c>
      <c r="D43" s="635">
        <f ca="1">industrie!C22</f>
        <v>0</v>
      </c>
      <c r="E43" s="635">
        <f>industrie!D22</f>
        <v>22730.201453534813</v>
      </c>
      <c r="F43" s="635">
        <f>industrie!E22</f>
        <v>48.008485832801249</v>
      </c>
      <c r="G43" s="635">
        <f>industrie!F22</f>
        <v>1389.2588336445788</v>
      </c>
      <c r="H43" s="635">
        <f>industrie!G22</f>
        <v>0</v>
      </c>
      <c r="I43" s="635">
        <f>industrie!H22</f>
        <v>0</v>
      </c>
      <c r="J43" s="635">
        <f>industrie!I22</f>
        <v>0</v>
      </c>
      <c r="K43" s="635">
        <f>industrie!J22</f>
        <v>52.620108904793391</v>
      </c>
      <c r="L43" s="635">
        <f>industrie!K22</f>
        <v>0</v>
      </c>
      <c r="M43" s="635">
        <f>industrie!L22</f>
        <v>0</v>
      </c>
      <c r="N43" s="635">
        <f>industrie!M22</f>
        <v>0</v>
      </c>
      <c r="O43" s="635">
        <f>industrie!N22</f>
        <v>0</v>
      </c>
      <c r="P43" s="635">
        <f>industrie!O22</f>
        <v>0</v>
      </c>
      <c r="Q43" s="710">
        <f>industrie!P22</f>
        <v>0</v>
      </c>
      <c r="R43" s="789">
        <f t="shared" ca="1" si="4"/>
        <v>29028.734791271589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15594.321689213211</v>
      </c>
      <c r="D46" s="668">
        <f t="shared" ref="D46:Q46" ca="1" si="5">SUM(D39:D45)</f>
        <v>0</v>
      </c>
      <c r="E46" s="668">
        <f t="shared" ca="1" si="5"/>
        <v>38921.561450210793</v>
      </c>
      <c r="F46" s="668">
        <f t="shared" si="5"/>
        <v>477.40209326865022</v>
      </c>
      <c r="G46" s="668">
        <f t="shared" ca="1" si="5"/>
        <v>17334.72774124956</v>
      </c>
      <c r="H46" s="668">
        <f t="shared" si="5"/>
        <v>0</v>
      </c>
      <c r="I46" s="668">
        <f t="shared" si="5"/>
        <v>0</v>
      </c>
      <c r="J46" s="668">
        <f t="shared" si="5"/>
        <v>0</v>
      </c>
      <c r="K46" s="668">
        <f t="shared" si="5"/>
        <v>504.25802986708248</v>
      </c>
      <c r="L46" s="668">
        <f t="shared" si="5"/>
        <v>0</v>
      </c>
      <c r="M46" s="668">
        <f t="shared" ca="1" si="5"/>
        <v>0</v>
      </c>
      <c r="N46" s="668">
        <f t="shared" si="5"/>
        <v>0</v>
      </c>
      <c r="O46" s="668">
        <f t="shared" ca="1" si="5"/>
        <v>0</v>
      </c>
      <c r="P46" s="668">
        <f t="shared" si="5"/>
        <v>0</v>
      </c>
      <c r="Q46" s="668">
        <f t="shared" si="5"/>
        <v>0</v>
      </c>
      <c r="R46" s="668">
        <f ca="1">SUM(R39:R45)</f>
        <v>72832.271003809306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0.98432156818558492</v>
      </c>
      <c r="D49" s="635">
        <f ca="1">transport!C58</f>
        <v>0</v>
      </c>
      <c r="E49" s="635">
        <f>transport!D58</f>
        <v>0</v>
      </c>
      <c r="F49" s="635">
        <f>transport!E58</f>
        <v>0</v>
      </c>
      <c r="G49" s="635">
        <f>transport!F58</f>
        <v>0</v>
      </c>
      <c r="H49" s="635">
        <f>transport!G58</f>
        <v>264.54120588344563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265.52552745163121</v>
      </c>
    </row>
    <row r="50" spans="1:18">
      <c r="A50" s="765" t="s">
        <v>296</v>
      </c>
      <c r="B50" s="775"/>
      <c r="C50" s="930">
        <f ca="1">transport!B18</f>
        <v>0.13202563153472355</v>
      </c>
      <c r="D50" s="930">
        <f>transport!C18</f>
        <v>0</v>
      </c>
      <c r="E50" s="930">
        <f>transport!D18</f>
        <v>0.50321272937723927</v>
      </c>
      <c r="F50" s="930">
        <f>transport!E18</f>
        <v>57.763740113163685</v>
      </c>
      <c r="G50" s="930">
        <f>transport!F18</f>
        <v>0</v>
      </c>
      <c r="H50" s="930">
        <f>transport!G18</f>
        <v>10703.200884051585</v>
      </c>
      <c r="I50" s="930">
        <f>transport!H18</f>
        <v>2099.7270094992582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12861.326872024918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1.1163471997203085</v>
      </c>
      <c r="D52" s="668">
        <f t="shared" ref="D52:Q52" ca="1" si="6">SUM(D48:D51)</f>
        <v>0</v>
      </c>
      <c r="E52" s="668">
        <f t="shared" si="6"/>
        <v>0.50321272937723927</v>
      </c>
      <c r="F52" s="668">
        <f t="shared" si="6"/>
        <v>57.763740113163685</v>
      </c>
      <c r="G52" s="668">
        <f t="shared" si="6"/>
        <v>0</v>
      </c>
      <c r="H52" s="668">
        <f t="shared" si="6"/>
        <v>10967.742089935031</v>
      </c>
      <c r="I52" s="668">
        <f t="shared" si="6"/>
        <v>2099.7270094992582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13126.852399476549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24.952786895165374</v>
      </c>
      <c r="D54" s="930">
        <f ca="1">+landbouw!C12</f>
        <v>0</v>
      </c>
      <c r="E54" s="930">
        <f>+landbouw!D12</f>
        <v>7.1224928202737878</v>
      </c>
      <c r="F54" s="930">
        <f>+landbouw!E12</f>
        <v>0.23682981393972255</v>
      </c>
      <c r="G54" s="930">
        <f>+landbouw!F12</f>
        <v>115.83053363883199</v>
      </c>
      <c r="H54" s="930">
        <f>+landbouw!G12</f>
        <v>0</v>
      </c>
      <c r="I54" s="930">
        <f>+landbouw!H12</f>
        <v>0</v>
      </c>
      <c r="J54" s="930">
        <f>+landbouw!I12</f>
        <v>0</v>
      </c>
      <c r="K54" s="930">
        <f>+landbouw!J12</f>
        <v>4.1475400937825651</v>
      </c>
      <c r="L54" s="930">
        <f>+landbouw!K12</f>
        <v>0</v>
      </c>
      <c r="M54" s="930">
        <f>+landbouw!L12</f>
        <v>0</v>
      </c>
      <c r="N54" s="930">
        <f>+landbouw!M12</f>
        <v>0</v>
      </c>
      <c r="O54" s="930">
        <f>+landbouw!N12</f>
        <v>0</v>
      </c>
      <c r="P54" s="930">
        <f>+landbouw!O12</f>
        <v>0</v>
      </c>
      <c r="Q54" s="931">
        <f>+landbouw!P12</f>
        <v>0</v>
      </c>
      <c r="R54" s="667">
        <f ca="1">SUM(C54:Q54)</f>
        <v>152.29018326199346</v>
      </c>
    </row>
    <row r="55" spans="1:18" ht="15" thickBot="1">
      <c r="A55" s="765" t="s">
        <v>864</v>
      </c>
      <c r="B55" s="775"/>
      <c r="C55" s="930">
        <f ca="1">C25*'EF ele_warmte'!B12</f>
        <v>288.63462152067291</v>
      </c>
      <c r="D55" s="930"/>
      <c r="E55" s="930">
        <f>E25*EF_CO2_aardgas</f>
        <v>506.72335222696631</v>
      </c>
      <c r="F55" s="930"/>
      <c r="G55" s="930"/>
      <c r="H55" s="930"/>
      <c r="I55" s="930"/>
      <c r="J55" s="930"/>
      <c r="K55" s="930"/>
      <c r="L55" s="930"/>
      <c r="M55" s="930"/>
      <c r="N55" s="930"/>
      <c r="O55" s="930"/>
      <c r="P55" s="930"/>
      <c r="Q55" s="931"/>
      <c r="R55" s="667">
        <f ca="1">SUM(C55:Q55)</f>
        <v>795.35797374763922</v>
      </c>
    </row>
    <row r="56" spans="1:18" ht="15.75" thickBot="1">
      <c r="A56" s="763" t="s">
        <v>865</v>
      </c>
      <c r="B56" s="776"/>
      <c r="C56" s="668">
        <f ca="1">SUM(C54:C55)</f>
        <v>313.5874084158383</v>
      </c>
      <c r="D56" s="668">
        <f t="shared" ref="D56:Q56" ca="1" si="7">SUM(D54:D55)</f>
        <v>0</v>
      </c>
      <c r="E56" s="668">
        <f t="shared" si="7"/>
        <v>513.84584504724012</v>
      </c>
      <c r="F56" s="668">
        <f t="shared" si="7"/>
        <v>0.23682981393972255</v>
      </c>
      <c r="G56" s="668">
        <f t="shared" si="7"/>
        <v>115.83053363883199</v>
      </c>
      <c r="H56" s="668">
        <f t="shared" si="7"/>
        <v>0</v>
      </c>
      <c r="I56" s="668">
        <f t="shared" si="7"/>
        <v>0</v>
      </c>
      <c r="J56" s="668">
        <f t="shared" si="7"/>
        <v>0</v>
      </c>
      <c r="K56" s="668">
        <f t="shared" si="7"/>
        <v>4.1475400937825651</v>
      </c>
      <c r="L56" s="668">
        <f t="shared" si="7"/>
        <v>0</v>
      </c>
      <c r="M56" s="668">
        <f t="shared" si="7"/>
        <v>0</v>
      </c>
      <c r="N56" s="668">
        <f t="shared" si="7"/>
        <v>0</v>
      </c>
      <c r="O56" s="668">
        <f t="shared" si="7"/>
        <v>0</v>
      </c>
      <c r="P56" s="668">
        <f t="shared" si="7"/>
        <v>0</v>
      </c>
      <c r="Q56" s="669">
        <f t="shared" si="7"/>
        <v>0</v>
      </c>
      <c r="R56" s="670">
        <f ca="1">SUM(R54:R55)</f>
        <v>947.64815700963265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15909.025444828771</v>
      </c>
      <c r="D61" s="676">
        <f t="shared" ref="D61:Q61" ca="1" si="8">D46+D52+D56</f>
        <v>0</v>
      </c>
      <c r="E61" s="676">
        <f t="shared" ca="1" si="8"/>
        <v>39435.910507987406</v>
      </c>
      <c r="F61" s="676">
        <f t="shared" si="8"/>
        <v>535.40266319575358</v>
      </c>
      <c r="G61" s="676">
        <f t="shared" ca="1" si="8"/>
        <v>17450.558274888393</v>
      </c>
      <c r="H61" s="676">
        <f t="shared" si="8"/>
        <v>10967.742089935031</v>
      </c>
      <c r="I61" s="676">
        <f t="shared" si="8"/>
        <v>2099.7270094992582</v>
      </c>
      <c r="J61" s="676">
        <f t="shared" si="8"/>
        <v>0</v>
      </c>
      <c r="K61" s="676">
        <f t="shared" si="8"/>
        <v>508.40556996086502</v>
      </c>
      <c r="L61" s="676">
        <f t="shared" si="8"/>
        <v>0</v>
      </c>
      <c r="M61" s="676">
        <f t="shared" ca="1" si="8"/>
        <v>0</v>
      </c>
      <c r="N61" s="676">
        <f t="shared" si="8"/>
        <v>0</v>
      </c>
      <c r="O61" s="676">
        <f t="shared" ca="1" si="8"/>
        <v>0</v>
      </c>
      <c r="P61" s="676">
        <f t="shared" si="8"/>
        <v>0</v>
      </c>
      <c r="Q61" s="676">
        <f t="shared" si="8"/>
        <v>0</v>
      </c>
      <c r="R61" s="676">
        <f ca="1">R46+R52+R56</f>
        <v>86906.7715602955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0.2155234298636054</v>
      </c>
      <c r="D63" s="720">
        <f t="shared" ca="1" si="9"/>
        <v>0</v>
      </c>
      <c r="E63" s="932">
        <f t="shared" ca="1" si="9"/>
        <v>0.20199999999999996</v>
      </c>
      <c r="F63" s="720">
        <f t="shared" si="9"/>
        <v>0.22699999999999998</v>
      </c>
      <c r="G63" s="720">
        <f t="shared" ca="1" si="9"/>
        <v>0.26699999999999996</v>
      </c>
      <c r="H63" s="720">
        <f t="shared" si="9"/>
        <v>0.26700000000000007</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1829.2180021152133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1829.2180021152133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34849.327824046566</v>
      </c>
      <c r="C4" s="445">
        <f>huishoudens!C8</f>
        <v>0</v>
      </c>
      <c r="D4" s="445">
        <f>huishoudens!D8</f>
        <v>67648.540478161536</v>
      </c>
      <c r="E4" s="445">
        <f>huishoudens!E8</f>
        <v>1659.8751712629235</v>
      </c>
      <c r="F4" s="445">
        <f>huishoudens!F8</f>
        <v>56658.835811363213</v>
      </c>
      <c r="G4" s="445">
        <f>huishoudens!G8</f>
        <v>0</v>
      </c>
      <c r="H4" s="445">
        <f>huishoudens!H8</f>
        <v>0</v>
      </c>
      <c r="I4" s="445">
        <f>huishoudens!I8</f>
        <v>0</v>
      </c>
      <c r="J4" s="445">
        <f>huishoudens!J8</f>
        <v>1275.8133360516642</v>
      </c>
      <c r="K4" s="445">
        <f>huishoudens!K8</f>
        <v>0</v>
      </c>
      <c r="L4" s="445">
        <f>huishoudens!L8</f>
        <v>0</v>
      </c>
      <c r="M4" s="445">
        <f>huishoudens!M8</f>
        <v>0</v>
      </c>
      <c r="N4" s="445">
        <f>huishoudens!N8</f>
        <v>9535.1669220214571</v>
      </c>
      <c r="O4" s="445">
        <f>huishoudens!O8</f>
        <v>54.716666666666669</v>
      </c>
      <c r="P4" s="446">
        <f>huishoudens!P8</f>
        <v>190.66666666666669</v>
      </c>
      <c r="Q4" s="447">
        <f>SUM(B4:P4)</f>
        <v>171872.94287624068</v>
      </c>
    </row>
    <row r="5" spans="1:17">
      <c r="A5" s="444" t="s">
        <v>149</v>
      </c>
      <c r="B5" s="445">
        <f ca="1">tertiair!B16</f>
        <v>13986.758799868039</v>
      </c>
      <c r="C5" s="445">
        <f ca="1">tertiair!C16</f>
        <v>0</v>
      </c>
      <c r="D5" s="445">
        <f ca="1">tertiair!D16</f>
        <v>12506.707030135396</v>
      </c>
      <c r="E5" s="445">
        <f>tertiair!E16</f>
        <v>231.72662360865797</v>
      </c>
      <c r="F5" s="445">
        <f ca="1">tertiair!F16</f>
        <v>3062.0215204906526</v>
      </c>
      <c r="G5" s="445">
        <f>tertiair!G16</f>
        <v>0</v>
      </c>
      <c r="H5" s="445">
        <f>tertiair!H16</f>
        <v>0</v>
      </c>
      <c r="I5" s="445">
        <f>tertiair!I16</f>
        <v>0</v>
      </c>
      <c r="J5" s="445">
        <f>tertiair!J16</f>
        <v>0</v>
      </c>
      <c r="K5" s="445">
        <f>tertiair!K16</f>
        <v>0</v>
      </c>
      <c r="L5" s="445">
        <f ca="1">tertiair!L16</f>
        <v>0</v>
      </c>
      <c r="M5" s="445">
        <f>tertiair!M16</f>
        <v>0</v>
      </c>
      <c r="N5" s="445">
        <f ca="1">tertiair!N16</f>
        <v>404.39404771016751</v>
      </c>
      <c r="O5" s="445">
        <f>tertiair!O16</f>
        <v>1.5633333333333335</v>
      </c>
      <c r="P5" s="446">
        <f>tertiair!P16</f>
        <v>171.6</v>
      </c>
      <c r="Q5" s="444">
        <f t="shared" ref="Q5:Q14" ca="1" si="0">SUM(B5:P5)</f>
        <v>30364.771355146244</v>
      </c>
    </row>
    <row r="6" spans="1:17">
      <c r="A6" s="444" t="s">
        <v>187</v>
      </c>
      <c r="B6" s="445">
        <f>'openbare verlichting'!B8</f>
        <v>1208.0119999999999</v>
      </c>
      <c r="C6" s="445"/>
      <c r="D6" s="445"/>
      <c r="E6" s="445"/>
      <c r="F6" s="445"/>
      <c r="G6" s="445"/>
      <c r="H6" s="445"/>
      <c r="I6" s="445"/>
      <c r="J6" s="445"/>
      <c r="K6" s="445"/>
      <c r="L6" s="445"/>
      <c r="M6" s="445"/>
      <c r="N6" s="445"/>
      <c r="O6" s="445"/>
      <c r="P6" s="446"/>
      <c r="Q6" s="444">
        <f t="shared" si="0"/>
        <v>1208.0119999999999</v>
      </c>
    </row>
    <row r="7" spans="1:17">
      <c r="A7" s="444" t="s">
        <v>105</v>
      </c>
      <c r="B7" s="445">
        <f>landbouw!B8</f>
        <v>115.77760668970801</v>
      </c>
      <c r="C7" s="445">
        <f>landbouw!C8</f>
        <v>0</v>
      </c>
      <c r="D7" s="445">
        <f>landbouw!D8</f>
        <v>35.259865446899937</v>
      </c>
      <c r="E7" s="445">
        <f>landbouw!E8</f>
        <v>1.0433031451089099</v>
      </c>
      <c r="F7" s="445">
        <f>landbouw!F8</f>
        <v>433.82222336641195</v>
      </c>
      <c r="G7" s="445">
        <f>landbouw!G8</f>
        <v>0</v>
      </c>
      <c r="H7" s="445">
        <f>landbouw!H8</f>
        <v>0</v>
      </c>
      <c r="I7" s="445">
        <f>landbouw!I8</f>
        <v>0</v>
      </c>
      <c r="J7" s="445">
        <f>landbouw!J8</f>
        <v>11.716214954188038</v>
      </c>
      <c r="K7" s="445">
        <f>landbouw!K8</f>
        <v>0</v>
      </c>
      <c r="L7" s="445">
        <f>landbouw!L8</f>
        <v>0</v>
      </c>
      <c r="M7" s="445">
        <f>landbouw!M8</f>
        <v>0</v>
      </c>
      <c r="N7" s="445">
        <f>landbouw!N8</f>
        <v>0</v>
      </c>
      <c r="O7" s="445">
        <f>landbouw!O8</f>
        <v>0</v>
      </c>
      <c r="P7" s="446">
        <f>landbouw!P8</f>
        <v>0</v>
      </c>
      <c r="Q7" s="444">
        <f t="shared" si="0"/>
        <v>597.61921360231679</v>
      </c>
    </row>
    <row r="8" spans="1:17">
      <c r="A8" s="444" t="s">
        <v>613</v>
      </c>
      <c r="B8" s="445">
        <f>industrie!B18</f>
        <v>22311.476355019804</v>
      </c>
      <c r="C8" s="445">
        <f>industrie!C18</f>
        <v>0</v>
      </c>
      <c r="D8" s="445">
        <f>industrie!D18</f>
        <v>112525.74976997433</v>
      </c>
      <c r="E8" s="445">
        <f>industrie!E18</f>
        <v>211.49112701674559</v>
      </c>
      <c r="F8" s="445">
        <f>industrie!F18</f>
        <v>5203.2166054104073</v>
      </c>
      <c r="G8" s="445">
        <f>industrie!G18</f>
        <v>0</v>
      </c>
      <c r="H8" s="445">
        <f>industrie!H18</f>
        <v>0</v>
      </c>
      <c r="I8" s="445">
        <f>industrie!I18</f>
        <v>0</v>
      </c>
      <c r="J8" s="445">
        <f>industrie!J18</f>
        <v>148.64437543726947</v>
      </c>
      <c r="K8" s="445">
        <f>industrie!K18</f>
        <v>0</v>
      </c>
      <c r="L8" s="445">
        <f>industrie!L18</f>
        <v>0</v>
      </c>
      <c r="M8" s="445">
        <f>industrie!M18</f>
        <v>0</v>
      </c>
      <c r="N8" s="445">
        <f>industrie!N18</f>
        <v>469.30847243903736</v>
      </c>
      <c r="O8" s="445">
        <f>industrie!O18</f>
        <v>0</v>
      </c>
      <c r="P8" s="446">
        <f>industrie!P18</f>
        <v>0</v>
      </c>
      <c r="Q8" s="444">
        <f t="shared" si="0"/>
        <v>140869.8867052976</v>
      </c>
    </row>
    <row r="9" spans="1:17" s="450" customFormat="1">
      <c r="A9" s="448" t="s">
        <v>555</v>
      </c>
      <c r="B9" s="449">
        <f>transport!B14</f>
        <v>0.61258134031309885</v>
      </c>
      <c r="C9" s="449">
        <f>transport!C14</f>
        <v>0</v>
      </c>
      <c r="D9" s="449">
        <f>transport!D14</f>
        <v>2.4911521256298972</v>
      </c>
      <c r="E9" s="449">
        <f>transport!E14</f>
        <v>254.465815476492</v>
      </c>
      <c r="F9" s="449">
        <f>transport!F14</f>
        <v>0</v>
      </c>
      <c r="G9" s="449">
        <f>transport!G14</f>
        <v>40086.894696822412</v>
      </c>
      <c r="H9" s="449">
        <f>transport!H14</f>
        <v>8432.6385923664984</v>
      </c>
      <c r="I9" s="449">
        <f>transport!I14</f>
        <v>0</v>
      </c>
      <c r="J9" s="449">
        <f>transport!J14</f>
        <v>0</v>
      </c>
      <c r="K9" s="449">
        <f>transport!K14</f>
        <v>0</v>
      </c>
      <c r="L9" s="449">
        <f>transport!L14</f>
        <v>0</v>
      </c>
      <c r="M9" s="449">
        <f>transport!M14</f>
        <v>2115.0232130392942</v>
      </c>
      <c r="N9" s="449">
        <f>transport!N14</f>
        <v>0</v>
      </c>
      <c r="O9" s="449">
        <f>transport!O14</f>
        <v>0</v>
      </c>
      <c r="P9" s="449">
        <f>transport!P14</f>
        <v>0</v>
      </c>
      <c r="Q9" s="448">
        <f>SUM(B9:P9)</f>
        <v>50892.126051170635</v>
      </c>
    </row>
    <row r="10" spans="1:17">
      <c r="A10" s="444" t="s">
        <v>545</v>
      </c>
      <c r="B10" s="445">
        <f>transport!B54</f>
        <v>4.5671209334804832</v>
      </c>
      <c r="C10" s="445">
        <f>transport!C54</f>
        <v>0</v>
      </c>
      <c r="D10" s="445">
        <f>transport!D54</f>
        <v>0</v>
      </c>
      <c r="E10" s="445">
        <f>transport!E54</f>
        <v>0</v>
      </c>
      <c r="F10" s="445">
        <f>transport!F54</f>
        <v>0</v>
      </c>
      <c r="G10" s="445">
        <f>transport!G54</f>
        <v>990.79103327133191</v>
      </c>
      <c r="H10" s="445">
        <f>transport!H54</f>
        <v>0</v>
      </c>
      <c r="I10" s="445">
        <f>transport!I54</f>
        <v>0</v>
      </c>
      <c r="J10" s="445">
        <f>transport!J54</f>
        <v>0</v>
      </c>
      <c r="K10" s="445">
        <f>transport!K54</f>
        <v>0</v>
      </c>
      <c r="L10" s="445">
        <f>transport!L54</f>
        <v>0</v>
      </c>
      <c r="M10" s="445">
        <f>transport!M54</f>
        <v>42.421866169585194</v>
      </c>
      <c r="N10" s="445">
        <f>transport!N54</f>
        <v>0</v>
      </c>
      <c r="O10" s="445">
        <f>transport!O54</f>
        <v>0</v>
      </c>
      <c r="P10" s="446">
        <f>transport!P54</f>
        <v>0</v>
      </c>
      <c r="Q10" s="444">
        <f t="shared" si="0"/>
        <v>1037.7800203743975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1339.22618855563</v>
      </c>
      <c r="C14" s="452"/>
      <c r="D14" s="452">
        <f>'SEAP template'!E25</f>
        <v>2508.5314466681498</v>
      </c>
      <c r="E14" s="452"/>
      <c r="F14" s="452"/>
      <c r="G14" s="452"/>
      <c r="H14" s="452"/>
      <c r="I14" s="452"/>
      <c r="J14" s="452"/>
      <c r="K14" s="452"/>
      <c r="L14" s="452"/>
      <c r="M14" s="452"/>
      <c r="N14" s="452"/>
      <c r="O14" s="452"/>
      <c r="P14" s="453"/>
      <c r="Q14" s="444">
        <f t="shared" si="0"/>
        <v>3847.7576352237797</v>
      </c>
    </row>
    <row r="15" spans="1:17" s="457" customFormat="1">
      <c r="A15" s="454" t="s">
        <v>549</v>
      </c>
      <c r="B15" s="455">
        <f ca="1">SUM(B4:B14)</f>
        <v>73815.758476453557</v>
      </c>
      <c r="C15" s="455">
        <f t="shared" ref="C15:Q15" ca="1" si="1">SUM(C4:C14)</f>
        <v>0</v>
      </c>
      <c r="D15" s="455">
        <f t="shared" ca="1" si="1"/>
        <v>195227.27974251195</v>
      </c>
      <c r="E15" s="455">
        <f t="shared" si="1"/>
        <v>2358.602040509928</v>
      </c>
      <c r="F15" s="455">
        <f t="shared" ca="1" si="1"/>
        <v>65357.896160630691</v>
      </c>
      <c r="G15" s="455">
        <f t="shared" si="1"/>
        <v>41077.685730093741</v>
      </c>
      <c r="H15" s="455">
        <f t="shared" si="1"/>
        <v>8432.6385923664984</v>
      </c>
      <c r="I15" s="455">
        <f t="shared" si="1"/>
        <v>0</v>
      </c>
      <c r="J15" s="455">
        <f t="shared" si="1"/>
        <v>1436.1739264431217</v>
      </c>
      <c r="K15" s="455">
        <f t="shared" si="1"/>
        <v>0</v>
      </c>
      <c r="L15" s="455">
        <f t="shared" ca="1" si="1"/>
        <v>0</v>
      </c>
      <c r="M15" s="455">
        <f t="shared" si="1"/>
        <v>2157.4450792088792</v>
      </c>
      <c r="N15" s="455">
        <f t="shared" ca="1" si="1"/>
        <v>10408.869442170662</v>
      </c>
      <c r="O15" s="455">
        <f t="shared" si="1"/>
        <v>56.28</v>
      </c>
      <c r="P15" s="455">
        <f t="shared" si="1"/>
        <v>362.26666666666665</v>
      </c>
      <c r="Q15" s="455">
        <f t="shared" ca="1" si="1"/>
        <v>400690.89585705567</v>
      </c>
    </row>
    <row r="17" spans="1:17">
      <c r="A17" s="458" t="s">
        <v>550</v>
      </c>
      <c r="B17" s="725">
        <f ca="1">huishoudens!B10</f>
        <v>0.2155234298636054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7510.8466610796922</v>
      </c>
      <c r="C22" s="445">
        <f t="shared" ref="C22:C32" ca="1" si="3">C4*$C$17</f>
        <v>0</v>
      </c>
      <c r="D22" s="445">
        <f t="shared" ref="D22:D32" si="4">D4*$D$17</f>
        <v>13665.005176588631</v>
      </c>
      <c r="E22" s="445">
        <f t="shared" ref="E22:E32" si="5">E4*$E$17</f>
        <v>376.79166387668363</v>
      </c>
      <c r="F22" s="445">
        <f t="shared" ref="F22:F32" si="6">F4*$F$17</f>
        <v>15127.909161633979</v>
      </c>
      <c r="G22" s="445">
        <f t="shared" ref="G22:G32" si="7">G4*$G$17</f>
        <v>0</v>
      </c>
      <c r="H22" s="445">
        <f t="shared" ref="H22:H32" si="8">H4*$H$17</f>
        <v>0</v>
      </c>
      <c r="I22" s="445">
        <f t="shared" ref="I22:I32" si="9">I4*$I$17</f>
        <v>0</v>
      </c>
      <c r="J22" s="445">
        <f t="shared" ref="J22:J32" si="10">J4*$J$17</f>
        <v>451.63792096228912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37132.190584141274</v>
      </c>
    </row>
    <row r="23" spans="1:17">
      <c r="A23" s="444" t="s">
        <v>149</v>
      </c>
      <c r="B23" s="445">
        <f t="shared" ca="1" si="2"/>
        <v>3014.4742292225251</v>
      </c>
      <c r="C23" s="445">
        <f t="shared" ca="1" si="3"/>
        <v>0</v>
      </c>
      <c r="D23" s="445">
        <f t="shared" ca="1" si="4"/>
        <v>2526.3548200873502</v>
      </c>
      <c r="E23" s="445">
        <f t="shared" si="5"/>
        <v>52.601943559165363</v>
      </c>
      <c r="F23" s="445">
        <f t="shared" ca="1" si="6"/>
        <v>817.5597459710043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6410.9907388400452</v>
      </c>
    </row>
    <row r="24" spans="1:17">
      <c r="A24" s="444" t="s">
        <v>187</v>
      </c>
      <c r="B24" s="445">
        <f t="shared" ca="1" si="2"/>
        <v>260.35488955639369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260.35488955639369</v>
      </c>
    </row>
    <row r="25" spans="1:17">
      <c r="A25" s="444" t="s">
        <v>105</v>
      </c>
      <c r="B25" s="445">
        <f t="shared" ca="1" si="2"/>
        <v>24.952786895165374</v>
      </c>
      <c r="C25" s="445">
        <f t="shared" ca="1" si="3"/>
        <v>0</v>
      </c>
      <c r="D25" s="445">
        <f t="shared" si="4"/>
        <v>7.1224928202737878</v>
      </c>
      <c r="E25" s="445">
        <f t="shared" si="5"/>
        <v>0.23682981393972255</v>
      </c>
      <c r="F25" s="445">
        <f t="shared" si="6"/>
        <v>115.83053363883199</v>
      </c>
      <c r="G25" s="445">
        <f t="shared" si="7"/>
        <v>0</v>
      </c>
      <c r="H25" s="445">
        <f t="shared" si="8"/>
        <v>0</v>
      </c>
      <c r="I25" s="445">
        <f t="shared" si="9"/>
        <v>0</v>
      </c>
      <c r="J25" s="445">
        <f t="shared" si="10"/>
        <v>4.1475400937825651</v>
      </c>
      <c r="K25" s="445">
        <f t="shared" si="11"/>
        <v>0</v>
      </c>
      <c r="L25" s="445">
        <f t="shared" si="12"/>
        <v>0</v>
      </c>
      <c r="M25" s="445">
        <f t="shared" si="13"/>
        <v>0</v>
      </c>
      <c r="N25" s="445">
        <f t="shared" si="14"/>
        <v>0</v>
      </c>
      <c r="O25" s="445">
        <f t="shared" si="15"/>
        <v>0</v>
      </c>
      <c r="P25" s="446">
        <f t="shared" si="16"/>
        <v>0</v>
      </c>
      <c r="Q25" s="444">
        <f t="shared" ca="1" si="17"/>
        <v>152.29018326199346</v>
      </c>
    </row>
    <row r="26" spans="1:17">
      <c r="A26" s="444" t="s">
        <v>613</v>
      </c>
      <c r="B26" s="445">
        <f t="shared" ca="1" si="2"/>
        <v>4808.6459093546009</v>
      </c>
      <c r="C26" s="445">
        <f t="shared" ca="1" si="3"/>
        <v>0</v>
      </c>
      <c r="D26" s="445">
        <f t="shared" si="4"/>
        <v>22730.201453534813</v>
      </c>
      <c r="E26" s="445">
        <f t="shared" si="5"/>
        <v>48.008485832801249</v>
      </c>
      <c r="F26" s="445">
        <f t="shared" si="6"/>
        <v>1389.2588336445788</v>
      </c>
      <c r="G26" s="445">
        <f t="shared" si="7"/>
        <v>0</v>
      </c>
      <c r="H26" s="445">
        <f t="shared" si="8"/>
        <v>0</v>
      </c>
      <c r="I26" s="445">
        <f t="shared" si="9"/>
        <v>0</v>
      </c>
      <c r="J26" s="445">
        <f t="shared" si="10"/>
        <v>52.620108904793391</v>
      </c>
      <c r="K26" s="445">
        <f t="shared" si="11"/>
        <v>0</v>
      </c>
      <c r="L26" s="445">
        <f t="shared" si="12"/>
        <v>0</v>
      </c>
      <c r="M26" s="445">
        <f t="shared" si="13"/>
        <v>0</v>
      </c>
      <c r="N26" s="445">
        <f t="shared" si="14"/>
        <v>0</v>
      </c>
      <c r="O26" s="445">
        <f t="shared" si="15"/>
        <v>0</v>
      </c>
      <c r="P26" s="446">
        <f t="shared" si="16"/>
        <v>0</v>
      </c>
      <c r="Q26" s="444">
        <f t="shared" ca="1" si="17"/>
        <v>29028.734791271589</v>
      </c>
    </row>
    <row r="27" spans="1:17" s="450" customFormat="1">
      <c r="A27" s="448" t="s">
        <v>555</v>
      </c>
      <c r="B27" s="719">
        <f t="shared" ca="1" si="2"/>
        <v>0.13202563153472355</v>
      </c>
      <c r="C27" s="449">
        <f t="shared" ca="1" si="3"/>
        <v>0</v>
      </c>
      <c r="D27" s="449">
        <f t="shared" si="4"/>
        <v>0.50321272937723927</v>
      </c>
      <c r="E27" s="449">
        <f t="shared" si="5"/>
        <v>57.763740113163685</v>
      </c>
      <c r="F27" s="449">
        <f t="shared" si="6"/>
        <v>0</v>
      </c>
      <c r="G27" s="449">
        <f t="shared" si="7"/>
        <v>10703.200884051585</v>
      </c>
      <c r="H27" s="449">
        <f t="shared" si="8"/>
        <v>2099.7270094992582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12861.326872024918</v>
      </c>
    </row>
    <row r="28" spans="1:17">
      <c r="A28" s="444" t="s">
        <v>545</v>
      </c>
      <c r="B28" s="445">
        <f t="shared" ca="1" si="2"/>
        <v>0.98432156818558492</v>
      </c>
      <c r="C28" s="445">
        <f t="shared" ca="1" si="3"/>
        <v>0</v>
      </c>
      <c r="D28" s="445">
        <f t="shared" si="4"/>
        <v>0</v>
      </c>
      <c r="E28" s="445">
        <f t="shared" si="5"/>
        <v>0</v>
      </c>
      <c r="F28" s="445">
        <f t="shared" si="6"/>
        <v>0</v>
      </c>
      <c r="G28" s="445">
        <f t="shared" si="7"/>
        <v>264.54120588344563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265.52552745163121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288.63462152067291</v>
      </c>
      <c r="C32" s="445">
        <f t="shared" ca="1" si="3"/>
        <v>0</v>
      </c>
      <c r="D32" s="445">
        <f t="shared" si="4"/>
        <v>506.72335222696631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795.35797374763922</v>
      </c>
    </row>
    <row r="33" spans="1:17" s="457" customFormat="1">
      <c r="A33" s="454" t="s">
        <v>549</v>
      </c>
      <c r="B33" s="455">
        <f ca="1">SUM(B22:B32)</f>
        <v>15909.025444828769</v>
      </c>
      <c r="C33" s="455">
        <f t="shared" ref="C33:Q33" ca="1" si="19">SUM(C22:C32)</f>
        <v>0</v>
      </c>
      <c r="D33" s="455">
        <f t="shared" ca="1" si="19"/>
        <v>39435.910507987406</v>
      </c>
      <c r="E33" s="455">
        <f t="shared" si="19"/>
        <v>535.40266319575358</v>
      </c>
      <c r="F33" s="455">
        <f t="shared" ca="1" si="19"/>
        <v>17450.558274888393</v>
      </c>
      <c r="G33" s="455">
        <f t="shared" si="19"/>
        <v>10967.742089935031</v>
      </c>
      <c r="H33" s="455">
        <f t="shared" si="19"/>
        <v>2099.7270094992582</v>
      </c>
      <c r="I33" s="455">
        <f t="shared" si="19"/>
        <v>0</v>
      </c>
      <c r="J33" s="455">
        <f t="shared" si="19"/>
        <v>508.40556996086502</v>
      </c>
      <c r="K33" s="455">
        <f t="shared" si="19"/>
        <v>0</v>
      </c>
      <c r="L33" s="455">
        <f t="shared" ca="1" si="19"/>
        <v>0</v>
      </c>
      <c r="M33" s="455">
        <f t="shared" si="19"/>
        <v>0</v>
      </c>
      <c r="N33" s="455">
        <f t="shared" ca="1" si="19"/>
        <v>0</v>
      </c>
      <c r="O33" s="455">
        <f t="shared" si="19"/>
        <v>0</v>
      </c>
      <c r="P33" s="455">
        <f t="shared" si="19"/>
        <v>0</v>
      </c>
      <c r="Q33" s="455">
        <f t="shared" ca="1" si="19"/>
        <v>86906.77156029547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1829.2180021152133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1829.2180021152133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0.2155234298636054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0.2155234298636054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1</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19.066666666666666</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2022-07-26T12:59:44Z</dcterms:modified>
</cp:coreProperties>
</file>