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F22F8105-6223-465F-A784-5E34C3BA524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6" i="18"/>
  <c r="I50" i="18"/>
  <c r="H17" i="18"/>
  <c r="J9" i="18"/>
  <c r="O9" i="18"/>
  <c r="B17" i="18"/>
  <c r="B20" i="18"/>
  <c r="C46" i="18"/>
  <c r="H49" i="18"/>
  <c r="O19" i="18"/>
  <c r="O18" i="18"/>
  <c r="L20" i="18"/>
  <c r="B10" i="18"/>
  <c r="D50"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0" i="18"/>
  <c r="C17" i="18"/>
  <c r="D87" i="14"/>
  <c r="D17" i="55"/>
  <c r="D20" i="55"/>
  <c r="L20" i="55"/>
  <c r="F50" i="18"/>
  <c r="G50" i="18"/>
  <c r="I17" i="18"/>
  <c r="J77" i="14"/>
  <c r="J9" i="55"/>
  <c r="H50" i="18"/>
  <c r="H20" i="18"/>
  <c r="M87" i="14"/>
  <c r="M17" i="55"/>
  <c r="M20" i="55"/>
  <c r="C50" i="18"/>
  <c r="E50" i="18"/>
  <c r="E17" i="18"/>
  <c r="K10" i="55"/>
  <c r="C49" i="18"/>
  <c r="E49" i="18"/>
  <c r="E8" i="18"/>
  <c r="G49" i="18"/>
  <c r="I49" i="18"/>
  <c r="H8" i="18"/>
  <c r="B49" i="18"/>
  <c r="C8" i="18"/>
  <c r="D76" i="14"/>
  <c r="D8" i="55"/>
  <c r="D10" i="55"/>
  <c r="D49" i="18"/>
  <c r="F49"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<sst xmlns="http://schemas.openxmlformats.org/spreadsheetml/2006/main" count="2528" uniqueCount="970">
  <si>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</si>
  <si>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</si>
  <si>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</si>
  <si>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</si>
  <si>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</si>
  <si>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</si>
  <si>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</si>
  <si>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</si>
  <si>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</si>
  <si>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</si>
  <si>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</si>
  <si>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</si>
  <si>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</si>
  <si>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</si>
  <si>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</si>
  <si>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</si>
  <si>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</si>
  <si>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</si>
  <si>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</si>
  <si>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</si>
  <si>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</si>
  <si>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</si>
  <si>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</si>
  <si>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</si>
  <si>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</si>
  <si>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</si>
  <si>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</si>
  <si>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</si>
  <si>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</si>
  <si>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</si>
  <si>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</si>
  <si>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</si>
  <si>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</si>
  <si>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</si>
  <si>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</si>
  <si>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</si>
  <si>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</si>
  <si>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</si>
  <si>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</si>
  <si>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</si>
  <si>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</si>
  <si>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</si>
  <si>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</si>
  <si>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</si>
  <si>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</si>
  <si>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</si>
  <si>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</si>
  <si>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</si>
  <si>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</si>
  <si>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</si>
  <si>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</si>
  <si>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</si>
  <si>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</si>
  <si>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</si>
  <si>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</si>
  <si>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</si>
  <si>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</si>
  <si>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</si>
  <si>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</si>
  <si>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</si>
  <si>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</si>
  <si>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</si>
  <si>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</si>
  <si>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</si>
  <si>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</si>
  <si>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</si>
  <si>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</si>
  <si>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</si>
  <si>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</si>
  <si>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</si>
  <si>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</si>
  <si>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</si>
  <si>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</si>
  <si>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</si>
  <si>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</si>
  <si>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</si>
  <si>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</si>
  <si>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</si>
  <si>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</si>
  <si>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</si>
  <si>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</si>
  <si>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</si>
  <si>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</si>
  <si>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</si>
  <si>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</si>
  <si>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</si>
  <si>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</si>
  <si>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</si>
  <si>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</si>
  <si>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</si>
  <si>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</si>
  <si>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</si>
  <si>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</si>
  <si>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</si>
  <si>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</si>
  <si>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</si>
  <si>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</si>
  <si>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</si>
  <si>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</si>
  <si>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</si>
  <si>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</si>
  <si>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</si>
  <si>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</si>
  <si>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</si>
  <si>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</si>
  <si>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</si>
  <si>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</si>
  <si>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</si>
  <si>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</si>
  <si>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</si>
  <si>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</si>
  <si>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</si>
  <si>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</si>
  <si>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</si>
  <si>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</si>
  <si>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</si>
  <si>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</si>
  <si>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</si>
  <si>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</si>
  <si>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</si>
  <si>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</si>
  <si>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</si>
  <si>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</si>
  <si>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</si>
  <si>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</si>
  <si>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</si>
  <si>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</si>
  <si>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</si>
  <si>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</si>
  <si>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</si>
  <si>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</si>
  <si>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</si>
  <si>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</si>
  <si>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</si>
  <si>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</si>
  <si>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</si>
  <si>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</si>
  <si>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</si>
  <si>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</si>
  <si>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</si>
  <si>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</si>
  <si>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</si>
  <si>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</si>
  <si>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</si>
  <si>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</si>
  <si>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</si>
  <si>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</si>
  <si>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</si>
  <si>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</si>
  <si>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</si>
  <si>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</si>
  <si>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</si>
  <si>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</si>
  <si>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</si>
  <si>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</si>
  <si>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</si>
  <si>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</si>
  <si>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</si>
  <si>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</si>
  <si>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</si>
  <si>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</si>
  <si>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</si>
  <si>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</si>
  <si>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</si>
  <si>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</si>
  <si>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</si>
  <si>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</si>
  <si>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</si>
  <si>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</si>
  <si>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</si>
  <si>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</si>
  <si>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</si>
  <si>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</si>
  <si>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</si>
  <si>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</si>
  <si>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</si>
  <si>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</si>
  <si>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</si>
  <si>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</si>
  <si>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</si>
  <si>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</si>
  <si>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</si>
  <si>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</si>
  <si>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</si>
  <si>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</si>
  <si>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</si>
  <si>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</si>
  <si>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</si>
  <si>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</si>
  <si>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</si>
  <si>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</si>
  <si>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</si>
  <si>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</si>
  <si>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</si>
  <si>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</si>
  <si>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</si>
  <si>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</si>
  <si>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</si>
  <si>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</si>
  <si>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</si>
  <si>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</si>
  <si>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</si>
  <si>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</si>
  <si>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</si>
  <si>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</si>
  <si>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</si>
  <si>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</si>
  <si>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</si>
  <si>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</si>
  <si>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</si>
  <si>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</si>
  <si>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</si>
  <si>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</si>
  <si>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</si>
  <si>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</si>
  <si>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</si>
  <si>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</si>
  <si>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</si>
  <si>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</si>
  <si>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</si>
  <si>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</si>
  <si>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</si>
  <si>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</si>
  <si>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</si>
  <si>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</si>
  <si>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</si>
  <si>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</si>
  <si>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</si>
  <si>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</si>
  <si>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</si>
  <si>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</si>
  <si>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</si>
  <si>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</si>
  <si>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</si>
  <si>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</si>
  <si>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</si>
  <si>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</si>
  <si>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</si>
  <si>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</si>
  <si>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</si>
  <si>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</si>
  <si>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</si>
  <si>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</si>
  <si>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</si>
  <si>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</si>
  <si>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</si>
  <si>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</si>
  <si>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</si>
  <si>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</si>
  <si>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</si>
  <si>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</si>
  <si>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</si>
  <si>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</si>
  <si>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</si>
  <si>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</si>
  <si>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</si>
  <si>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</si>
  <si>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</si>
  <si>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</si>
  <si>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</si>
  <si>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</si>
  <si>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</si>
  <si>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</si>
  <si>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</si>
  <si>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</si>
  <si>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</si>
  <si>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</si>
  <si>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</si>
  <si>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</si>
  <si>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</si>
  <si>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</si>
  <si>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</si>
  <si>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</si>
  <si>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</si>
  <si>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</si>
  <si>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</si>
  <si>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</si>
  <si>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</si>
  <si>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</si>
  <si>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</si>
  <si>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</si>
  <si>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</si>
  <si>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</si>
  <si>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</si>
  <si>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</si>
  <si>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</si>
  <si>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</si>
  <si>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</si>
  <si>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</si>
  <si>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</si>
  <si>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</si>
  <si>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</si>
  <si>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</si>
  <si>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</si>
  <si>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</si>
  <si>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</si>
  <si>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</si>
  <si>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</si>
  <si>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</si>
  <si>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</si>
  <si>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</si>
  <si>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</si>
  <si>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</si>
  <si>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</si>
  <si>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</si>
  <si>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</si>
  <si>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</si>
  <si>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</si>
  <si>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</si>
  <si>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</si>
  <si>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</si>
  <si>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</si>
  <si>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</si>
  <si>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</si>
  <si>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</si>
  <si>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</si>
  <si>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</si>
  <si>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</si>
  <si>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</si>
  <si>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</si>
  <si>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</si>
  <si>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</si>
  <si>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</si>
  <si>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</si>
  <si>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</si>
  <si>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</si>
  <si>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</si>
  <si>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</si>
  <si>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</si>
  <si>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</si>
  <si>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</si>
  <si>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</si>
  <si>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</si>
  <si>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</si>
  <si>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</si>
  <si>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</si>
  <si>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</si>
  <si>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</si>
  <si>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</si>
  <si>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</si>
  <si>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</si>
  <si>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</si>
  <si>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</si>
  <si>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</si>
  <si>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</si>
  <si>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</si>
  <si>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</si>
  <si>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</si>
  <si>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</si>
  <si>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</si>
  <si>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</si>
  <si>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</si>
  <si>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</si>
  <si>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</si>
  <si>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</si>
  <si>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</si>
  <si>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</si>
  <si>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</si>
  <si>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</si>
  <si>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</si>
  <si>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</si>
  <si>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</si>
  <si>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</si>
  <si>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</si>
  <si>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</si>
  <si>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</si>
  <si>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</si>
  <si>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</si>
  <si>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</si>
  <si>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</si>
  <si>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</si>
  <si>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</si>
  <si>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</si>
  <si>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</si>
  <si>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</si>
  <si>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</si>
  <si>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</si>
  <si>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</si>
  <si>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</si>
  <si>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</si>
  <si>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</si>
  <si>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</si>
  <si>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</si>
  <si>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</si>
  <si>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</si>
  <si>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</si>
  <si>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</si>
  <si>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</si>
  <si>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</si>
  <si>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</si>
  <si>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</si>
  <si>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</si>
  <si>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</si>
  <si>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</si>
  <si>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</si>
  <si>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</si>
  <si>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</si>
  <si>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</si>
  <si>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</si>
  <si>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</si>
  <si>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</si>
  <si>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</si>
  <si>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</si>
  <si>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</si>
  <si>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</si>
  <si>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</si>
  <si>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</si>
  <si>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</si>
  <si>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</si>
  <si>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</si>
  <si>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</si>
  <si>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</si>
  <si>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</si>
  <si>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</si>
  <si>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</si>
  <si>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</si>
  <si>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</si>
  <si>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</si>
  <si>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</si>
  <si>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</si>
  <si>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</si>
  <si>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</si>
  <si>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</si>
  <si>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</si>
  <si>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</si>
  <si>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</si>
  <si>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</si>
  <si>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</si>
  <si>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</si>
  <si>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</si>
  <si>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</si>
  <si>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</si>
  <si>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</si>
  <si>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</si>
  <si>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</si>
  <si>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</si>
  <si>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</si>
  <si>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</si>
  <si>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</si>
  <si>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</si>
  <si>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</si>
  <si>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</si>
  <si>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</si>
  <si>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</si>
  <si>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</si>
  <si>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</si>
  <si>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</si>
  <si>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</si>
  <si>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</si>
  <si>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</si>
  <si>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</si>
  <si>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</si>
  <si>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</si>
  <si>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</si>
  <si>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</si>
  <si>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</si>
  <si>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</si>
  <si>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</si>
  <si>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</si>
  <si>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</si>
  <si>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</si>
  <si>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</si>
  <si>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</si>
  <si>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</si>
  <si>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</si>
  <si>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</si>
  <si>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</si>
  <si>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</si>
  <si>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</si>
  <si>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</si>
  <si>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</si>
  <si>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</si>
  <si>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</si>
  <si>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</si>
  <si>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</si>
  <si>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</si>
  <si>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</si>
  <si>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</si>
  <si>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</si>
  <si>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</si>
  <si>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</si>
  <si>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</si>
  <si>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</si>
  <si>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</si>
  <si>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</si>
  <si>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</si>
  <si>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</si>
  <si>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</si>
  <si>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</si>
  <si>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</si>
  <si>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</si>
  <si>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</si>
  <si>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</si>
  <si>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</si>
  <si>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</si>
  <si>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</si>
  <si>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</si>
  <si>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</si>
  <si>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</si>
  <si>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</si>
  <si>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</si>
  <si>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</si>
  <si>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</si>
  <si>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</si>
  <si>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</si>
  <si>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</si>
  <si>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</si>
  <si>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</si>
  <si>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</si>
  <si>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</si>
  <si>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</si>
  <si>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</si>
  <si>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</si>
  <si>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</si>
  <si>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</si>
  <si>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</si>
  <si>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</si>
  <si>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</si>
  <si>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</si>
  <si>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</si>
  <si>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</si>
  <si>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</si>
  <si>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</si>
  <si>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</si>
  <si>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</si>
  <si>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</si>
  <si>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</si>
  <si>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</si>
  <si>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</si>
  <si>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</si>
  <si>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</si>
  <si>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</si>
  <si>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</si>
  <si>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</si>
  <si>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</si>
  <si>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</si>
  <si>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</si>
  <si>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</si>
  <si>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</si>
  <si>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</si>
  <si>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</si>
  <si>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</si>
  <si>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</si>
  <si>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</si>
  <si>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</si>
  <si>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</si>
  <si>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</si>
  <si>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</si>
  <si>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</si>
  <si>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</si>
  <si>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</si>
  <si>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</si>
  <si>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</si>
  <si>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</si>
  <si>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</si>
  <si>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</si>
  <si>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</si>
  <si>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</si>
  <si>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</si>
  <si>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</si>
  <si>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</si>
  <si>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</si>
  <si>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</si>
  <si>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</si>
  <si>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</si>
  <si>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</si>
  <si>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</si>
  <si>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</si>
  <si>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</si>
  <si>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</si>
  <si>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</si>
  <si>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</si>
  <si>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</si>
  <si>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</si>
  <si>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</si>
  <si>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</si>
  <si>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</si>
  <si>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</si>
  <si>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</si>
  <si>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</si>
  <si>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</si>
  <si>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</si>
  <si>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</si>
  <si>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</si>
  <si>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</si>
  <si>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</si>
  <si>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</si>
  <si>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</si>
  <si>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</si>
  <si>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</si>
  <si>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</si>
  <si>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</si>
  <si>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</si>
  <si>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</si>
  <si>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</si>
  <si>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</si>
  <si>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</si>
  <si>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</si>
  <si>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</si>
  <si>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</si>
  <si>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</si>
  <si>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</si>
  <si>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</si>
  <si>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</si>
  <si>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</si>
  <si>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</si>
  <si>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</si>
  <si>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</si>
  <si>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</si>
  <si>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</si>
  <si>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</si>
  <si>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</si>
  <si>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</si>
  <si>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</si>
  <si>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</si>
  <si>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</si>
  <si>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</si>
  <si>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</si>
  <si>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</si>
  <si>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</si>
  <si>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</si>
  <si>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</si>
  <si>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</si>
  <si>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</si>
  <si>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</si>
  <si>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</si>
  <si>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</si>
  <si>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</si>
  <si>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</si>
  <si>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</si>
  <si>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</si>
  <si>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</si>
  <si>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</si>
  <si>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</si>
  <si>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</si>
  <si>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</si>
  <si>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</si>
  <si>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</si>
  <si>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</si>
  <si>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</si>
  <si>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</si>
  <si>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</si>
  <si>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</si>
  <si>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</si>
  <si>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</si>
  <si>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</si>
  <si>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</si>
  <si>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</si>
  <si>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</si>
  <si>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</si>
  <si>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</si>
  <si>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</si>
  <si>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</si>
  <si>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</si>
  <si>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</si>
  <si>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</si>
  <si>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</si>
  <si>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</si>
  <si>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</si>
  <si>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</si>
  <si>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</si>
  <si>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</si>
  <si>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</si>
  <si>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</si>
  <si>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</si>
  <si>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</si>
  <si>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</si>
  <si>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</si>
  <si>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</si>
  <si>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</si>
  <si>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</si>
  <si>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</si>
  <si>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</si>
  <si>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</si>
  <si>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</si>
  <si>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</si>
  <si>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</si>
  <si>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</si>
  <si>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</si>
  <si>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</si>
  <si>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</si>
  <si>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</si>
  <si>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</si>
  <si>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</si>
  <si>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</si>
  <si>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</si>
  <si>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</si>
  <si>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</si>
  <si>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</si>
  <si>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</si>
  <si>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</si>
  <si>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</si>
  <si>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</si>
  <si>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</si>
  <si>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</si>
  <si>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</si>
  <si>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</si>
  <si>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</si>
  <si>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</si>
  <si>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</si>
  <si>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</si>
  <si>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</si>
  <si>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</si>
  <si>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</si>
  <si>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</si>
  <si>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</si>
  <si>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</si>
  <si>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</si>
  <si>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</si>
  <si>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</si>
  <si>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</si>
  <si>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</si>
  <si>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</si>
  <si>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</si>
  <si>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</si>
  <si>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</si>
  <si>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</si>
  <si>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</si>
  <si>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</si>
  <si>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</si>
  <si>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</si>
  <si>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</si>
  <si>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</si>
  <si>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</si>
  <si>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</si>
  <si>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</si>
  <si>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</si>
  <si>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</si>
  <si>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</si>
  <si>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</si>
  <si>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</si>
  <si>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</si>
  <si>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</si>
  <si>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</si>
  <si>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</si>
  <si>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</si>
  <si>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</si>
  <si>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</si>
  <si>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</si>
  <si>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</si>
  <si>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</si>
  <si>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</si>
  <si>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</si>
  <si>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</si>
  <si>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</si>
  <si>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</si>
  <si>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</si>
  <si>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</si>
  <si>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</si>
  <si>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</si>
  <si>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</si>
  <si>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</si>
  <si>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</si>
  <si>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</si>
  <si>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</si>
  <si>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</si>
  <si>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</si>
  <si>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</si>
  <si>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</si>
  <si>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</si>
  <si>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</si>
  <si>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</si>
  <si>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</si>
  <si>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</si>
  <si>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</si>
  <si>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</si>
  <si>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</si>
  <si>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</si>
  <si>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</si>
  <si>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</si>
  <si>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</si>
  <si>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</si>
  <si>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</si>
  <si>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</si>
  <si>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</si>
  <si>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</si>
  <si>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</si>
  <si>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</si>
  <si>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</si>
  <si>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</si>
  <si>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</si>
  <si>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</si>
  <si>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</si>
  <si>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</si>
  <si>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</si>
  <si>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</si>
  <si>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</si>
  <si>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</si>
  <si>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</si>
  <si>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</si>
  <si>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</si>
  <si>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</si>
  <si>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</si>
  <si>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</si>
  <si>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</si>
  <si>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</si>
  <si>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</si>
  <si>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</si>
  <si>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</si>
  <si>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</si>
  <si>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</si>
  <si>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</si>
  <si>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</si>
  <si>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</si>
  <si>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</si>
  <si>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</si>
  <si>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</si>
  <si>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</si>
  <si>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</si>
  <si>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</si>
  <si>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</si>
  <si>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</si>
  <si>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</si>
  <si>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</si>
  <si>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</si>
  <si>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</si>
  <si>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</si>
  <si>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</si>
  <si>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</si>
  <si>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</si>
  <si>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</si>
  <si>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</si>
  <si>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</si>
  <si>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</si>
  <si>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</si>
  <si>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</si>
  <si>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</si>
  <si>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</si>
  <si>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</si>
  <si>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</si>
  <si>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</si>
  <si>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</si>
  <si>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</si>
  <si>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</si>
  <si>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</si>
  <si>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</si>
  <si>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</si>
  <si>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</si>
  <si>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</si>
  <si>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</si>
  <si>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</si>
  <si>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</si>
  <si>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</si>
  <si>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</si>
  <si>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</si>
  <si>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</si>
  <si>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</si>
  <si>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</si>
  <si>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</si>
  <si>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</si>
  <si>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</si>
  <si>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</si>
  <si>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</si>
  <si>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</si>
  <si>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</si>
  <si>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</si>
  <si>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</si>
  <si>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</si>
  <si>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</si>
  <si>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</si>
  <si>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</si>
  <si>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</si>
  <si>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</si>
  <si>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</si>
  <si>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</si>
  <si>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</si>
  <si>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</si>
  <si>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</si>
  <si>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</si>
  <si>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</si>
  <si>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</si>
  <si>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</si>
  <si>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</si>
  <si>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</si>
  <si>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</si>
  <si>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</si>
  <si>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</si>
  <si>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</si>
  <si>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</si>
  <si>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</si>
  <si>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</si>
  <si>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</si>
  <si>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</si>
  <si>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</si>
  <si>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</si>
  <si>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</si>
  <si>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</si>
  <si>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</si>
  <si>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</si>
  <si>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</si>
  <si>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</si>
  <si>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</si>
  <si>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</si>
  <si>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</si>
  <si>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</si>
  <si>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</si>
  <si>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</si>
  <si>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</si>
  <si>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</si>
  <si>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</si>
  <si>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</si>
  <si>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</si>
  <si>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</si>
  <si>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</si>
  <si>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</si>
  <si>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</si>
  <si>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</si>
  <si>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</si>
  <si>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</si>
  <si>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</si>
  <si>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</si>
  <si>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</si>
  <si>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</si>
  <si>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</si>
  <si>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</si>
  <si>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</si>
  <si>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</si>
  <si>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</si>
  <si>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</si>
  <si>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</si>
  <si>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</si>
  <si>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</si>
  <si>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</si>
  <si>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</si>
  <si>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</si>
  <si>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</si>
  <si>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</si>
  <si>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</si>
  <si>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</si>
  <si>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</si>
  <si>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</si>
  <si>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</si>
  <si>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</si>
  <si>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</si>
  <si>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</si>
  <si>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</si>
  <si>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</si>
  <si>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</si>
  <si>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</si>
  <si>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</si>
  <si>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</si>
  <si>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</si>
  <si>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</si>
  <si>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</si>
  <si>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</si>
  <si>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</si>
  <si>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</si>
  <si>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</si>
  <si>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</si>
  <si>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</si>
  <si>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</si>
  <si>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</si>
  <si>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</si>
  <si>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</si>
  <si>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</si>
  <si>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</si>
  <si>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</si>
  <si>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24045</t>
  </si>
  <si>
    <t>HULDENBERG</t>
  </si>
  <si>
    <t>Paarden&amp;pony's 200 - 600 kg</t>
  </si>
  <si>
    <t>Paarden&amp;pony's &lt; 200 kg</t>
  </si>
  <si>
    <t>vloeibaar gas (MWh)</t>
  </si>
  <si>
    <t>interne verbrandingsmotor</t>
  </si>
  <si>
    <t>WKK interne verbrandinsgmotor (gas)</t>
  </si>
  <si>
    <t>IVERLEK</t>
  </si>
  <si>
    <t>biomassa uit land- of bosbouw</t>
  </si>
  <si>
    <t>niet WKK interne verbrandingsmotor (andere biomassa)</t>
  </si>
  <si>
    <t>Iverlek</t>
  </si>
  <si>
    <t>biogas - stortgas</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</si>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</sst>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575F388D-AB33-40EB-8FF5-7DB27A9DB057}"/>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24045</v>
      </c>
      <c r="B6" s="382"/>
      <c r="C6" s="383"/>
    </row>
    <row r="7" spans="1:7" s="380" customFormat="1" ht="15.75" customHeight="1">
      <c r="A7" s="384" t="str">
        <f>txtMunicipality</f>
        <v>HULDENBERG</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0.18463561436819637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0.18463561436819637</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3677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1875</v>
      </c>
      <c r="C14" s="324"/>
      <c r="D14" s="324"/>
      <c r="E14" s="324"/>
      <c r="F14" s="324"/>
    </row>
    <row r="15" spans="1:6">
      <c r="A15" s="1235" t="s">
        <v>177</v>
      </c>
      <c r="B15" s="1236">
        <v>8</v>
      </c>
      <c r="C15" s="324"/>
      <c r="D15" s="324"/>
      <c r="E15" s="324"/>
      <c r="F15" s="324"/>
    </row>
    <row r="16" spans="1:6">
      <c r="A16" s="1235" t="s">
        <v>6</v>
      </c>
      <c r="B16" s="1236">
        <v>342</v>
      </c>
      <c r="C16" s="324"/>
      <c r="D16" s="324"/>
      <c r="E16" s="324"/>
      <c r="F16" s="324"/>
    </row>
    <row r="17" spans="1:6">
      <c r="A17" s="1235" t="s">
        <v>7</v>
      </c>
      <c r="B17" s="1236">
        <v>435</v>
      </c>
      <c r="C17" s="324"/>
      <c r="D17" s="324"/>
      <c r="E17" s="324"/>
      <c r="F17" s="324"/>
    </row>
    <row r="18" spans="1:6">
      <c r="A18" s="1235" t="s">
        <v>8</v>
      </c>
      <c r="B18" s="1236">
        <v>602</v>
      </c>
      <c r="C18" s="324"/>
      <c r="D18" s="324"/>
      <c r="E18" s="324"/>
      <c r="F18" s="324"/>
    </row>
    <row r="19" spans="1:6">
      <c r="A19" s="1235" t="s">
        <v>9</v>
      </c>
      <c r="B19" s="1236">
        <v>581</v>
      </c>
      <c r="C19" s="324"/>
      <c r="D19" s="324"/>
      <c r="E19" s="324"/>
      <c r="F19" s="324"/>
    </row>
    <row r="20" spans="1:6">
      <c r="A20" s="1235" t="s">
        <v>10</v>
      </c>
      <c r="B20" s="1236">
        <v>405</v>
      </c>
      <c r="C20" s="324"/>
      <c r="D20" s="324"/>
      <c r="E20" s="324"/>
      <c r="F20" s="324"/>
    </row>
    <row r="21" spans="1:6">
      <c r="A21" s="1235" t="s">
        <v>11</v>
      </c>
      <c r="B21" s="1236">
        <v>0</v>
      </c>
      <c r="C21" s="324"/>
      <c r="D21" s="324"/>
      <c r="E21" s="324"/>
      <c r="F21" s="324"/>
    </row>
    <row r="22" spans="1:6">
      <c r="A22" s="1235" t="s">
        <v>12</v>
      </c>
      <c r="B22" s="1236">
        <v>1017</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208</v>
      </c>
      <c r="C26" s="324"/>
      <c r="D26" s="324"/>
      <c r="E26" s="324"/>
      <c r="F26" s="324"/>
    </row>
    <row r="27" spans="1:6">
      <c r="A27" s="1235" t="s">
        <v>17</v>
      </c>
      <c r="B27" s="1236">
        <v>1</v>
      </c>
      <c r="C27" s="324"/>
      <c r="D27" s="324"/>
      <c r="E27" s="324"/>
      <c r="F27" s="324"/>
    </row>
    <row r="28" spans="1:6">
      <c r="A28" s="1235" t="s">
        <v>18</v>
      </c>
      <c r="B28" s="1237">
        <v>12</v>
      </c>
      <c r="C28" s="324"/>
      <c r="D28" s="324"/>
      <c r="E28" s="324"/>
      <c r="F28" s="324"/>
    </row>
    <row r="29" spans="1:6">
      <c r="A29" s="1235" t="s">
        <v>959</v>
      </c>
      <c r="B29" s="1237">
        <v>113</v>
      </c>
      <c r="C29" s="324"/>
      <c r="D29" s="324"/>
      <c r="E29" s="324"/>
      <c r="F29" s="324"/>
    </row>
    <row r="30" spans="1:6">
      <c r="A30" s="1230" t="s">
        <v>960</v>
      </c>
      <c r="B30" s="1238">
        <v>15</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3</v>
      </c>
      <c r="F38" s="1236">
        <v>15798.125</v>
      </c>
    </row>
    <row r="39" spans="1:6">
      <c r="A39" s="1235" t="s">
        <v>29</v>
      </c>
      <c r="B39" s="1235" t="s">
        <v>30</v>
      </c>
      <c r="C39" s="1236">
        <v>1202</v>
      </c>
      <c r="D39" s="1236">
        <v>24576269.316434301</v>
      </c>
      <c r="E39" s="1236">
        <v>3547</v>
      </c>
      <c r="F39" s="1236">
        <v>17989384.7880079</v>
      </c>
    </row>
    <row r="40" spans="1:6">
      <c r="A40" s="1235" t="s">
        <v>29</v>
      </c>
      <c r="B40" s="1235" t="s">
        <v>28</v>
      </c>
      <c r="C40" s="1236">
        <v>0</v>
      </c>
      <c r="D40" s="1236">
        <v>0</v>
      </c>
      <c r="E40" s="1236">
        <v>0</v>
      </c>
      <c r="F40" s="1236">
        <v>0</v>
      </c>
    </row>
    <row r="41" spans="1:6">
      <c r="A41" s="1235" t="s">
        <v>31</v>
      </c>
      <c r="B41" s="1235" t="s">
        <v>32</v>
      </c>
      <c r="C41" s="1236">
        <v>3</v>
      </c>
      <c r="D41" s="1236">
        <v>106504.03250054301</v>
      </c>
      <c r="E41" s="1236">
        <v>47</v>
      </c>
      <c r="F41" s="1236">
        <v>372354.41906431701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7</v>
      </c>
      <c r="D48" s="1236">
        <v>145784.67087483901</v>
      </c>
      <c r="E48" s="1236">
        <v>26</v>
      </c>
      <c r="F48" s="1236">
        <v>480838.10514417902</v>
      </c>
    </row>
    <row r="49" spans="1:6">
      <c r="A49" s="1235" t="s">
        <v>31</v>
      </c>
      <c r="B49" s="1235" t="s">
        <v>39</v>
      </c>
      <c r="C49" s="1236">
        <v>0</v>
      </c>
      <c r="D49" s="1236">
        <v>0</v>
      </c>
      <c r="E49" s="1236">
        <v>0</v>
      </c>
      <c r="F49" s="1236">
        <v>0</v>
      </c>
    </row>
    <row r="50" spans="1:6">
      <c r="A50" s="1235" t="s">
        <v>31</v>
      </c>
      <c r="B50" s="1235" t="s">
        <v>40</v>
      </c>
      <c r="C50" s="1236">
        <v>5</v>
      </c>
      <c r="D50" s="1236">
        <v>321824.72625058301</v>
      </c>
      <c r="E50" s="1236">
        <v>8</v>
      </c>
      <c r="F50" s="1236">
        <v>178686.47597324199</v>
      </c>
    </row>
    <row r="51" spans="1:6">
      <c r="A51" s="1235" t="s">
        <v>41</v>
      </c>
      <c r="B51" s="1235" t="s">
        <v>42</v>
      </c>
      <c r="C51" s="1236">
        <v>3</v>
      </c>
      <c r="D51" s="1236">
        <v>44135.616751811503</v>
      </c>
      <c r="E51" s="1236">
        <v>49</v>
      </c>
      <c r="F51" s="1236">
        <v>379832.06078648398</v>
      </c>
    </row>
    <row r="52" spans="1:6">
      <c r="A52" s="1235" t="s">
        <v>41</v>
      </c>
      <c r="B52" s="1235" t="s">
        <v>28</v>
      </c>
      <c r="C52" s="1236">
        <v>2</v>
      </c>
      <c r="D52" s="1236">
        <v>41195.737997948803</v>
      </c>
      <c r="E52" s="1236">
        <v>5</v>
      </c>
      <c r="F52" s="1236">
        <v>31230.291789659099</v>
      </c>
    </row>
    <row r="53" spans="1:6">
      <c r="A53" s="1235" t="s">
        <v>43</v>
      </c>
      <c r="B53" s="1235" t="s">
        <v>44</v>
      </c>
      <c r="C53" s="1236">
        <v>57</v>
      </c>
      <c r="D53" s="1236">
        <v>1354660.9303047101</v>
      </c>
      <c r="E53" s="1236">
        <v>129</v>
      </c>
      <c r="F53" s="1236">
        <v>763969.92145761196</v>
      </c>
    </row>
    <row r="54" spans="1:6">
      <c r="A54" s="1235" t="s">
        <v>45</v>
      </c>
      <c r="B54" s="1235" t="s">
        <v>46</v>
      </c>
      <c r="C54" s="1236">
        <v>0</v>
      </c>
      <c r="D54" s="1236">
        <v>0</v>
      </c>
      <c r="E54" s="1236">
        <v>1</v>
      </c>
      <c r="F54" s="1236">
        <v>711233</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11</v>
      </c>
      <c r="D57" s="1236">
        <v>497574.76907965302</v>
      </c>
      <c r="E57" s="1236">
        <v>33</v>
      </c>
      <c r="F57" s="1236">
        <v>3672155.5594655802</v>
      </c>
    </row>
    <row r="58" spans="1:6">
      <c r="A58" s="1235" t="s">
        <v>48</v>
      </c>
      <c r="B58" s="1235" t="s">
        <v>50</v>
      </c>
      <c r="C58" s="1236">
        <v>0</v>
      </c>
      <c r="D58" s="1236">
        <v>0</v>
      </c>
      <c r="E58" s="1236">
        <v>0</v>
      </c>
      <c r="F58" s="1236">
        <v>0</v>
      </c>
    </row>
    <row r="59" spans="1:6">
      <c r="A59" s="1235" t="s">
        <v>48</v>
      </c>
      <c r="B59" s="1235" t="s">
        <v>51</v>
      </c>
      <c r="C59" s="1236">
        <v>11</v>
      </c>
      <c r="D59" s="1236">
        <v>184930.59599018999</v>
      </c>
      <c r="E59" s="1236">
        <v>49</v>
      </c>
      <c r="F59" s="1236">
        <v>1293314.9684061301</v>
      </c>
    </row>
    <row r="60" spans="1:6">
      <c r="A60" s="1235" t="s">
        <v>48</v>
      </c>
      <c r="B60" s="1235" t="s">
        <v>52</v>
      </c>
      <c r="C60" s="1236">
        <v>7</v>
      </c>
      <c r="D60" s="1236">
        <v>324343.36944800598</v>
      </c>
      <c r="E60" s="1236">
        <v>20</v>
      </c>
      <c r="F60" s="1236">
        <v>327191.66299337102</v>
      </c>
    </row>
    <row r="61" spans="1:6">
      <c r="A61" s="1235" t="s">
        <v>48</v>
      </c>
      <c r="B61" s="1235" t="s">
        <v>53</v>
      </c>
      <c r="C61" s="1236">
        <v>37</v>
      </c>
      <c r="D61" s="1236">
        <v>2824978.66642643</v>
      </c>
      <c r="E61" s="1236">
        <v>143</v>
      </c>
      <c r="F61" s="1236">
        <v>1412438.2203454699</v>
      </c>
    </row>
    <row r="62" spans="1:6">
      <c r="A62" s="1235" t="s">
        <v>48</v>
      </c>
      <c r="B62" s="1235" t="s">
        <v>54</v>
      </c>
      <c r="C62" s="1236">
        <v>0</v>
      </c>
      <c r="D62" s="1236">
        <v>0</v>
      </c>
      <c r="E62" s="1236">
        <v>0</v>
      </c>
      <c r="F62" s="1236">
        <v>0</v>
      </c>
    </row>
    <row r="63" spans="1:6">
      <c r="A63" s="1235" t="s">
        <v>48</v>
      </c>
      <c r="B63" s="1235" t="s">
        <v>28</v>
      </c>
      <c r="C63" s="1236">
        <v>54</v>
      </c>
      <c r="D63" s="1236">
        <v>3199427.5406168601</v>
      </c>
      <c r="E63" s="1236">
        <v>80</v>
      </c>
      <c r="F63" s="1236">
        <v>2117066.6298851902</v>
      </c>
    </row>
    <row r="64" spans="1:6">
      <c r="A64" s="1235" t="s">
        <v>55</v>
      </c>
      <c r="B64" s="1235" t="s">
        <v>56</v>
      </c>
      <c r="C64" s="1236">
        <v>0</v>
      </c>
      <c r="D64" s="1236">
        <v>0</v>
      </c>
      <c r="E64" s="1236">
        <v>0</v>
      </c>
      <c r="F64" s="1236">
        <v>0</v>
      </c>
    </row>
    <row r="65" spans="1:6">
      <c r="A65" s="1235" t="s">
        <v>55</v>
      </c>
      <c r="B65" s="1235" t="s">
        <v>28</v>
      </c>
      <c r="C65" s="1236">
        <v>1</v>
      </c>
      <c r="D65" s="1236">
        <v>31575.958334552699</v>
      </c>
      <c r="E65" s="1236">
        <v>2</v>
      </c>
      <c r="F65" s="1236">
        <v>232897.949030155</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0</v>
      </c>
      <c r="F68" s="1238">
        <v>0</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35713476</v>
      </c>
      <c r="E73" s="443"/>
      <c r="F73" s="324"/>
    </row>
    <row r="74" spans="1:6">
      <c r="A74" s="1235" t="s">
        <v>63</v>
      </c>
      <c r="B74" s="1235" t="s">
        <v>730</v>
      </c>
      <c r="C74" s="1248" t="s">
        <v>731</v>
      </c>
      <c r="D74" s="1236">
        <v>1403343.0146165814</v>
      </c>
      <c r="E74" s="443"/>
      <c r="F74" s="324"/>
    </row>
    <row r="75" spans="1:6">
      <c r="A75" s="1235" t="s">
        <v>64</v>
      </c>
      <c r="B75" s="1235" t="s">
        <v>728</v>
      </c>
      <c r="C75" s="1248" t="s">
        <v>732</v>
      </c>
      <c r="D75" s="1236">
        <v>33944445</v>
      </c>
      <c r="E75" s="443"/>
      <c r="F75" s="324"/>
    </row>
    <row r="76" spans="1:6">
      <c r="A76" s="1235" t="s">
        <v>64</v>
      </c>
      <c r="B76" s="1235" t="s">
        <v>730</v>
      </c>
      <c r="C76" s="1248" t="s">
        <v>733</v>
      </c>
      <c r="D76" s="1236">
        <v>822533.01461658138</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715969.97076683713</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949.05897535788267</v>
      </c>
      <c r="C91" s="324"/>
      <c r="D91" s="324"/>
      <c r="E91" s="324"/>
      <c r="F91" s="324"/>
    </row>
    <row r="92" spans="1:6">
      <c r="A92" s="1230" t="s">
        <v>68</v>
      </c>
      <c r="B92" s="1231">
        <v>36.999459759606054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519</v>
      </c>
      <c r="C97" s="324"/>
      <c r="D97" s="324"/>
      <c r="E97" s="324"/>
      <c r="F97" s="324"/>
    </row>
    <row r="98" spans="1:6">
      <c r="A98" s="1235" t="s">
        <v>71</v>
      </c>
      <c r="B98" s="1236">
        <v>1</v>
      </c>
      <c r="C98" s="324"/>
      <c r="D98" s="324"/>
      <c r="E98" s="324"/>
      <c r="F98" s="324"/>
    </row>
    <row r="99" spans="1:6">
      <c r="A99" s="1235" t="s">
        <v>72</v>
      </c>
      <c r="B99" s="1236">
        <v>94</v>
      </c>
      <c r="C99" s="324"/>
      <c r="D99" s="324"/>
      <c r="E99" s="324"/>
      <c r="F99" s="324"/>
    </row>
    <row r="100" spans="1:6">
      <c r="A100" s="1235" t="s">
        <v>73</v>
      </c>
      <c r="B100" s="1236">
        <v>266</v>
      </c>
      <c r="C100" s="324"/>
      <c r="D100" s="324"/>
      <c r="E100" s="324"/>
      <c r="F100" s="324"/>
    </row>
    <row r="101" spans="1:6">
      <c r="A101" s="1235" t="s">
        <v>74</v>
      </c>
      <c r="B101" s="1236">
        <v>58</v>
      </c>
      <c r="C101" s="324"/>
      <c r="D101" s="324"/>
      <c r="E101" s="324"/>
      <c r="F101" s="324"/>
    </row>
    <row r="102" spans="1:6">
      <c r="A102" s="1235" t="s">
        <v>75</v>
      </c>
      <c r="B102" s="1236">
        <v>47</v>
      </c>
      <c r="C102" s="324"/>
      <c r="D102" s="324"/>
      <c r="E102" s="324"/>
      <c r="F102" s="324"/>
    </row>
    <row r="103" spans="1:6">
      <c r="A103" s="1235" t="s">
        <v>76</v>
      </c>
      <c r="B103" s="1236">
        <v>96</v>
      </c>
      <c r="C103" s="324"/>
      <c r="D103" s="324"/>
      <c r="E103" s="324"/>
      <c r="F103" s="324"/>
    </row>
    <row r="104" spans="1:6">
      <c r="A104" s="1235" t="s">
        <v>77</v>
      </c>
      <c r="B104" s="1236">
        <v>2219</v>
      </c>
      <c r="C104" s="324"/>
      <c r="D104" s="324"/>
      <c r="E104" s="324"/>
      <c r="F104" s="324"/>
    </row>
    <row r="105" spans="1:6">
      <c r="A105" s="1230" t="s">
        <v>78</v>
      </c>
      <c r="B105" s="123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8</v>
      </c>
      <c r="C123" s="1236">
        <v>6</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47</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8</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35556.036261758069</v>
      </c>
      <c r="C3" s="43" t="s">
        <v>163</v>
      </c>
      <c r="D3" s="43"/>
      <c r="E3" s="155"/>
      <c r="F3" s="43"/>
      <c r="G3" s="43"/>
      <c r="H3" s="43"/>
      <c r="I3" s="43"/>
      <c r="J3" s="43"/>
      <c r="K3" s="96"/>
    </row>
    <row r="4" spans="1:11">
      <c r="A4" s="350" t="s">
        <v>164</v>
      </c>
      <c r="B4" s="49">
        <f>IF(ISERROR('SEAP template'!B78+'SEAP template'!C78),0,'SEAP template'!B78+'SEAP template'!C78)</f>
        <v>5850.5584351174884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0.18463561436819637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711.23299999999995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711.23299999999995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0.18463561436819637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131.31894191393539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17989.384788007901</v>
      </c>
      <c r="C5" s="17">
        <f>IF(ISERROR('Eigen informatie GS &amp; warmtenet'!B57),0,'Eigen informatie GS &amp; warmtenet'!B57)</f>
        <v>0</v>
      </c>
      <c r="D5" s="30">
        <f>(SUM(HH_hh_gas_kWh,HH_rest_gas_kWh)/1000)*0.902</f>
        <v>22167.794923423739</v>
      </c>
      <c r="E5" s="17">
        <f>B32*B41</f>
        <v>1215.9272849727176</v>
      </c>
      <c r="F5" s="17">
        <f>B36*B45</f>
        <v>41504.943016533158</v>
      </c>
      <c r="G5" s="18"/>
      <c r="H5" s="17"/>
      <c r="I5" s="17"/>
      <c r="J5" s="17">
        <f>B35*B44+C35*C44</f>
        <v>934.58608978226653</v>
      </c>
      <c r="K5" s="17"/>
      <c r="L5" s="17"/>
      <c r="M5" s="17"/>
      <c r="N5" s="17">
        <f>B34*B43+C34*C43</f>
        <v>4785.4928393197097</v>
      </c>
      <c r="O5" s="17">
        <f>B52*B53*B54</f>
        <v>82.856666666666683</v>
      </c>
      <c r="P5" s="17">
        <f>B60*B61*B62/1000-B60*B61*B62/1000/B63</f>
        <v>305.06666666666666</v>
      </c>
    </row>
    <row r="6" spans="1:16">
      <c r="A6" s="16" t="s">
        <v>591</v>
      </c>
      <c r="B6" s="727">
        <f>kWh_PV_kleiner_dan_10kW</f>
        <v>949.05897535788267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18938.443763365784</v>
      </c>
      <c r="C8" s="21">
        <f>C5</f>
        <v>0</v>
      </c>
      <c r="D8" s="21">
        <f>D5</f>
        <v>22167.794923423739</v>
      </c>
      <c r="E8" s="21">
        <f>E5</f>
        <v>1215.9272849727176</v>
      </c>
      <c r="F8" s="21">
        <f>F5</f>
        <v>41504.943016533158</v>
      </c>
      <c r="G8" s="21"/>
      <c r="H8" s="21"/>
      <c r="I8" s="21"/>
      <c r="J8" s="21">
        <f>J5</f>
        <v>934.58608978226653</v>
      </c>
      <c r="K8" s="21"/>
      <c r="L8" s="21">
        <f>L5</f>
        <v>0</v>
      </c>
      <c r="M8" s="21">
        <f>M5</f>
        <v>0</v>
      </c>
      <c r="N8" s="21">
        <f>N5</f>
        <v>4785.4928393197097</v>
      </c>
      <c r="O8" s="21">
        <f>O5</f>
        <v>82.856666666666683</v>
      </c>
      <c r="P8" s="21">
        <f>P5</f>
        <v>305.06666666666666</v>
      </c>
    </row>
    <row r="9" spans="1:16">
      <c r="B9" s="19"/>
      <c r="C9" s="19"/>
      <c r="D9" s="255"/>
      <c r="E9" s="19"/>
      <c r="F9" s="19"/>
      <c r="G9" s="19"/>
      <c r="H9" s="19"/>
      <c r="I9" s="19"/>
      <c r="J9" s="19"/>
      <c r="K9" s="19"/>
      <c r="L9" s="19"/>
      <c r="M9" s="19"/>
      <c r="N9" s="19"/>
      <c r="O9" s="19"/>
      <c r="P9" s="19"/>
    </row>
    <row r="10" spans="1:16">
      <c r="A10" s="24" t="s">
        <v>207</v>
      </c>
      <c r="B10" s="25">
        <f ca="1">'EF ele_warmte'!B12</f>
        <v>0.18463561436819637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3496.7111994265783</v>
      </c>
      <c r="C12" s="23">
        <f ca="1">C10*C8</f>
        <v>0</v>
      </c>
      <c r="D12" s="23">
        <f>D8*D10</f>
        <v>4477.894574531595</v>
      </c>
      <c r="E12" s="23">
        <f>E10*E8</f>
        <v>276.01549368880694</v>
      </c>
      <c r="F12" s="23">
        <f>F10*F8</f>
        <v>11081.819785414355</v>
      </c>
      <c r="G12" s="23"/>
      <c r="H12" s="23"/>
      <c r="I12" s="23"/>
      <c r="J12" s="23">
        <f>J10*J8</f>
        <v>330.84347578292233</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3677</v>
      </c>
      <c r="C26" s="36"/>
      <c r="D26" s="225"/>
    </row>
    <row r="27" spans="1:5" s="15" customFormat="1">
      <c r="A27" s="227" t="s">
        <v>671</v>
      </c>
      <c r="B27" s="37">
        <f>SUM(HH_hh_gas_aantal,HH_rest_gas_aantal)</f>
        <v>1202</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1141.9000000000001</v>
      </c>
      <c r="C31" s="34" t="s">
        <v>104</v>
      </c>
      <c r="D31" s="171"/>
    </row>
    <row r="32" spans="1:5">
      <c r="A32" s="168" t="s">
        <v>72</v>
      </c>
      <c r="B32" s="33">
        <f>IF((B21*($B$26-($B$27-0.05*$B$27)-$B$60))&lt;0,0,B21*($B$26-($B$27-0.05*$B$27)-$B$60))</f>
        <v>17.859332389534831</v>
      </c>
      <c r="C32" s="34" t="s">
        <v>104</v>
      </c>
      <c r="D32" s="171"/>
    </row>
    <row r="33" spans="1:6">
      <c r="A33" s="168" t="s">
        <v>73</v>
      </c>
      <c r="B33" s="33">
        <f>IF((B22*($B$26-($B$27-0.05*$B$27)-$B$60))&lt;0,0,B22*($B$26-($B$27-0.05*$B$27)-$B$60))</f>
        <v>511.84603644292696</v>
      </c>
      <c r="C33" s="34" t="s">
        <v>104</v>
      </c>
      <c r="D33" s="171"/>
    </row>
    <row r="34" spans="1:6">
      <c r="A34" s="168" t="s">
        <v>74</v>
      </c>
      <c r="B34" s="33">
        <f>IF((B24*($B$26-($B$27-0.05*$B$27)-$B$60))&lt;0,0,B24*($B$26-($B$27-0.05*$B$27)-$B$60))</f>
        <v>102.06750901896491</v>
      </c>
      <c r="C34" s="33">
        <f>B26*C24</f>
        <v>751.86418936220718</v>
      </c>
      <c r="D34" s="230"/>
    </row>
    <row r="35" spans="1:6">
      <c r="A35" s="168" t="s">
        <v>76</v>
      </c>
      <c r="B35" s="33">
        <f>IF((B19*($B$26-($B$27-0.05*$B$27)-$B$60))&lt;0,0,B19*($B$26-($B$27-0.05*$B$27)-$B$60))</f>
        <v>53.15277496885367</v>
      </c>
      <c r="C35" s="33">
        <f>B35/2</f>
        <v>26.576387484426835</v>
      </c>
      <c r="D35" s="230"/>
    </row>
    <row r="36" spans="1:6">
      <c r="A36" s="168" t="s">
        <v>77</v>
      </c>
      <c r="B36" s="33">
        <f>IF((B18*($B$26-($B$27-0.05*$B$27)-$B$60))&lt;0,0,B18*($B$26-($B$27-0.05*$B$27)-$B$60))</f>
        <v>1834.1743471797195</v>
      </c>
      <c r="C36" s="34" t="s">
        <v>104</v>
      </c>
      <c r="D36" s="171"/>
    </row>
    <row r="37" spans="1:6">
      <c r="A37" s="168" t="s">
        <v>78</v>
      </c>
      <c r="B37" s="33">
        <f>B60</f>
        <v>16</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53</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16</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8822.1670410957413</v>
      </c>
      <c r="C5" s="17">
        <f>IF(ISERROR('Eigen informatie GS &amp; warmtenet'!B58),0,'Eigen informatie GS &amp; warmtenet'!B58)</f>
        <v>0</v>
      </c>
      <c r="D5" s="30">
        <f>SUM(D6:D12)</f>
        <v>6342.1919572881488</v>
      </c>
      <c r="E5" s="17">
        <f>SUM(E6:E12)</f>
        <v>141.04812788296721</v>
      </c>
      <c r="F5" s="17">
        <f>SUM(F6:F12)</f>
        <v>1858.429920119554</v>
      </c>
      <c r="G5" s="18"/>
      <c r="H5" s="17"/>
      <c r="I5" s="17"/>
      <c r="J5" s="17">
        <f>SUM(J6:J12)</f>
        <v>0</v>
      </c>
      <c r="K5" s="17"/>
      <c r="L5" s="17"/>
      <c r="M5" s="17"/>
      <c r="N5" s="17">
        <f>SUM(N6:N12)</f>
        <v>848.83281799384258</v>
      </c>
      <c r="O5" s="17">
        <f>B38*B39*B40</f>
        <v>1.5633333333333335</v>
      </c>
      <c r="P5" s="17">
        <f>B46*B47*B48/1000-B46*B47*B48/1000/B49</f>
        <v>0</v>
      </c>
      <c r="R5" s="32"/>
    </row>
    <row r="6" spans="1:18">
      <c r="A6" s="32" t="s">
        <v>53</v>
      </c>
      <c r="B6" s="37">
        <f>B26</f>
        <v>1412.43822034547</v>
      </c>
      <c r="C6" s="33"/>
      <c r="D6" s="37">
        <f>IF(ISERROR(TER_kantoor_gas_kWh/1000),0,TER_kantoor_gas_kWh/1000)*0.902</f>
        <v>2548.1307571166403</v>
      </c>
      <c r="E6" s="33">
        <f>$C$26*'E Balans VL '!I12/100/3.6*1000000</f>
        <v>48.859078382513779</v>
      </c>
      <c r="F6" s="33">
        <f>$C$26*('E Balans VL '!L12+'E Balans VL '!N12)/100/3.6*1000000</f>
        <v>215.62369225390054</v>
      </c>
      <c r="G6" s="34"/>
      <c r="H6" s="33"/>
      <c r="I6" s="33"/>
      <c r="J6" s="33">
        <f>$C$26*('E Balans VL '!D12+'E Balans VL '!E12)/100/3.6*1000000</f>
        <v>0</v>
      </c>
      <c r="K6" s="33"/>
      <c r="L6" s="33"/>
      <c r="M6" s="33"/>
      <c r="N6" s="33">
        <f>$C$26*'E Balans VL '!Y12/100/3.6*1000000</f>
        <v>21.773406593065669</v>
      </c>
      <c r="O6" s="33"/>
      <c r="P6" s="33"/>
      <c r="R6" s="32"/>
    </row>
    <row r="7" spans="1:18">
      <c r="A7" s="32" t="s">
        <v>52</v>
      </c>
      <c r="B7" s="37">
        <f t="shared" ref="B7:B12" si="0">B27</f>
        <v>327.19166299337104</v>
      </c>
      <c r="C7" s="33"/>
      <c r="D7" s="37">
        <f>IF(ISERROR(TER_horeca_gas_kWh/1000),0,TER_horeca_gas_kWh/1000)*0.902</f>
        <v>292.55771924210143</v>
      </c>
      <c r="E7" s="33">
        <f>$C$27*'E Balans VL '!I9/100/3.6*1000000</f>
        <v>17.931142827085377</v>
      </c>
      <c r="F7" s="33">
        <f>$C$27*('E Balans VL '!L9+'E Balans VL '!N9)/100/3.6*1000000</f>
        <v>55.371773890336819</v>
      </c>
      <c r="G7" s="34"/>
      <c r="H7" s="33"/>
      <c r="I7" s="33"/>
      <c r="J7" s="33">
        <f>$C$27*('E Balans VL '!D9+'E Balans VL '!E9)/100/3.6*1000000</f>
        <v>0</v>
      </c>
      <c r="K7" s="33"/>
      <c r="L7" s="33"/>
      <c r="M7" s="33"/>
      <c r="N7" s="33">
        <f>$C$27*'E Balans VL '!Y9/100/3.6*1000000</f>
        <v>0</v>
      </c>
      <c r="O7" s="33"/>
      <c r="P7" s="33"/>
      <c r="R7" s="32"/>
    </row>
    <row r="8" spans="1:18">
      <c r="A8" s="6" t="s">
        <v>51</v>
      </c>
      <c r="B8" s="37">
        <f t="shared" si="0"/>
        <v>1293.31496840613</v>
      </c>
      <c r="C8" s="33"/>
      <c r="D8" s="37">
        <f>IF(ISERROR(TER_handel_gas_kWh/1000),0,TER_handel_gas_kWh/1000)*0.902</f>
        <v>166.80739758315138</v>
      </c>
      <c r="E8" s="33">
        <f>$C$28*'E Balans VL '!I13/100/3.6*1000000</f>
        <v>6.5431012579786945</v>
      </c>
      <c r="F8" s="33">
        <f>$C$28*('E Balans VL '!L13+'E Balans VL '!N13)/100/3.6*1000000</f>
        <v>196.50909414656812</v>
      </c>
      <c r="G8" s="34"/>
      <c r="H8" s="33"/>
      <c r="I8" s="33"/>
      <c r="J8" s="33">
        <f>$C$28*('E Balans VL '!D13+'E Balans VL '!E13)/100/3.6*1000000</f>
        <v>0</v>
      </c>
      <c r="K8" s="33"/>
      <c r="L8" s="33"/>
      <c r="M8" s="33"/>
      <c r="N8" s="33">
        <f>$C$28*'E Balans VL '!Y13/100/3.6*1000000</f>
        <v>0.60478870034011034</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3672.1555594655802</v>
      </c>
      <c r="C10" s="33"/>
      <c r="D10" s="37">
        <f>IF(ISERROR(TER_ander_gas_kWh/1000),0,TER_ander_gas_kWh/1000)*0.902</f>
        <v>448.81244170984706</v>
      </c>
      <c r="E10" s="33">
        <f>$C$30*'E Balans VL '!I14/100/3.6*1000000</f>
        <v>22.354793095117465</v>
      </c>
      <c r="F10" s="33">
        <f>$C$30*('E Balans VL '!L14+'E Balans VL '!N14)/100/3.6*1000000</f>
        <v>972.20108041215951</v>
      </c>
      <c r="G10" s="34"/>
      <c r="H10" s="33"/>
      <c r="I10" s="33"/>
      <c r="J10" s="33">
        <f>$C$30*('E Balans VL '!D14+'E Balans VL '!E14)/100/3.6*1000000</f>
        <v>0</v>
      </c>
      <c r="K10" s="33"/>
      <c r="L10" s="33"/>
      <c r="M10" s="33"/>
      <c r="N10" s="33">
        <f>$C$30*'E Balans VL '!Y14/100/3.6*1000000</f>
        <v>764.81477031395048</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2117.0666298851902</v>
      </c>
      <c r="C12" s="33"/>
      <c r="D12" s="37">
        <f>IF(ISERROR(TER_rest_gas_kWh/1000),0,TER_rest_gas_kWh/1000)*0.902</f>
        <v>2885.8836416364084</v>
      </c>
      <c r="E12" s="33">
        <f>$C$32*'E Balans VL '!I8/100/3.6*1000000</f>
        <v>45.360012320271878</v>
      </c>
      <c r="F12" s="33">
        <f>$C$32*('E Balans VL '!L8+'E Balans VL '!N8)/100/3.6*1000000</f>
        <v>418.72427941658901</v>
      </c>
      <c r="G12" s="34"/>
      <c r="H12" s="33"/>
      <c r="I12" s="33"/>
      <c r="J12" s="33">
        <f>$C$32*('E Balans VL '!D8+'E Balans VL '!E8)/100/3.6*1000000</f>
        <v>0</v>
      </c>
      <c r="K12" s="33"/>
      <c r="L12" s="33"/>
      <c r="M12" s="33"/>
      <c r="N12" s="33">
        <f>$C$32*'E Balans VL '!Y8/100/3.6*1000000</f>
        <v>61.639852386486425</v>
      </c>
      <c r="O12" s="33"/>
      <c r="P12" s="33"/>
      <c r="R12" s="32"/>
    </row>
    <row r="13" spans="1:18">
      <c r="A13" s="16" t="s">
        <v>483</v>
      </c>
      <c r="B13" s="243">
        <f ca="1">'lokale energieproductie'!N39+'lokale energieproductie'!N31</f>
        <v>4864.5</v>
      </c>
      <c r="C13" s="243">
        <f ca="1">'lokale energieproductie'!O39+'lokale energieproductie'!O31</f>
        <v>0</v>
      </c>
      <c r="D13" s="302">
        <f ca="1">('lokale energieproductie'!P31+'lokale energieproductie'!P39)*(-1)</f>
        <v>0</v>
      </c>
      <c r="E13" s="244"/>
      <c r="F13" s="302">
        <f ca="1">('lokale energieproductie'!S31+'lokale energieproductie'!S39)*(-1)</f>
        <v>0</v>
      </c>
      <c r="G13" s="245"/>
      <c r="H13" s="244"/>
      <c r="I13" s="244"/>
      <c r="J13" s="244"/>
      <c r="K13" s="244"/>
      <c r="L13" s="302">
        <f ca="1">('lokale energieproductie'!U31+'lokale energieproductie'!T31+'lokale energieproductie'!U39+'lokale energieproductie'!T39)*(-1)</f>
        <v>0</v>
      </c>
      <c r="M13" s="244"/>
      <c r="N13" s="302">
        <f ca="1">('lokale energieproductie'!Q31+'lokale energieproductie'!R31+'lokale energieproductie'!V31+'lokale energieproductie'!Q39+'lokale energieproductie'!R39+'lokale energieproductie'!V39)*(-1)</f>
        <v>-13898.571428571429</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13686.667041095741</v>
      </c>
      <c r="C16" s="21">
        <f ca="1">C5+C13+C14</f>
        <v>0</v>
      </c>
      <c r="D16" s="21">
        <f t="shared" ref="D16:N16" ca="1" si="1">MAX((D5+D13+D14),0)</f>
        <v>6342.1919572881488</v>
      </c>
      <c r="E16" s="21">
        <f t="shared" si="1"/>
        <v>141.04812788296721</v>
      </c>
      <c r="F16" s="21">
        <f t="shared" ca="1" si="1"/>
        <v>1858.429920119554</v>
      </c>
      <c r="G16" s="21">
        <f t="shared" si="1"/>
        <v>0</v>
      </c>
      <c r="H16" s="21">
        <f t="shared" si="1"/>
        <v>0</v>
      </c>
      <c r="I16" s="21">
        <f t="shared" si="1"/>
        <v>0</v>
      </c>
      <c r="J16" s="21">
        <f t="shared" si="1"/>
        <v>0</v>
      </c>
      <c r="K16" s="21">
        <f t="shared" si="1"/>
        <v>0</v>
      </c>
      <c r="L16" s="21">
        <f t="shared" ca="1" si="1"/>
        <v>0</v>
      </c>
      <c r="M16" s="21">
        <f t="shared" si="1"/>
        <v>0</v>
      </c>
      <c r="N16" s="21">
        <f t="shared" ca="1" si="1"/>
        <v>0</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0.18463561436819637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2527.0461777856567</v>
      </c>
      <c r="C20" s="23">
        <f t="shared" ref="C20:P20" ca="1" si="2">C16*C18</f>
        <v>0</v>
      </c>
      <c r="D20" s="23">
        <f t="shared" ca="1" si="2"/>
        <v>1281.1227753722062</v>
      </c>
      <c r="E20" s="23">
        <f t="shared" si="2"/>
        <v>32.017925029433556</v>
      </c>
      <c r="F20" s="23">
        <f t="shared" ca="1" si="2"/>
        <v>496.20078867192098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1412.43822034547</v>
      </c>
      <c r="C26" s="39">
        <f>IF(ISERROR(B26*3.6/1000000/'E Balans VL '!Z12*100),0,B26*3.6/1000000/'E Balans VL '!Z12*100)</f>
        <v>2.9372649523324246E-2</v>
      </c>
      <c r="D26" s="233" t="s">
        <v>676</v>
      </c>
      <c r="F26" s="6"/>
    </row>
    <row r="27" spans="1:18">
      <c r="A27" s="228" t="s">
        <v>52</v>
      </c>
      <c r="B27" s="33">
        <f>IF(ISERROR(TER_horeca_ele_kWh/1000),0,TER_horeca_ele_kWh/1000)</f>
        <v>327.19166299337104</v>
      </c>
      <c r="C27" s="39">
        <f>IF(ISERROR(B27*3.6/1000000/'E Balans VL '!Z9*100),0,B27*3.6/1000000/'E Balans VL '!Z9*100)</f>
        <v>2.6911746472735032E-2</v>
      </c>
      <c r="D27" s="233" t="s">
        <v>676</v>
      </c>
      <c r="F27" s="6"/>
    </row>
    <row r="28" spans="1:18">
      <c r="A28" s="168" t="s">
        <v>51</v>
      </c>
      <c r="B28" s="33">
        <f>IF(ISERROR(TER_handel_ele_kWh/1000),0,TER_handel_ele_kWh/1000)</f>
        <v>1293.31496840613</v>
      </c>
      <c r="C28" s="39">
        <f>IF(ISERROR(B28*3.6/1000000/'E Balans VL '!Z13*100),0,B28*3.6/1000000/'E Balans VL '!Z13*100)</f>
        <v>3.5798705489184734E-2</v>
      </c>
      <c r="D28" s="233" t="s">
        <v>676</v>
      </c>
      <c r="F28" s="6"/>
    </row>
    <row r="29" spans="1:18">
      <c r="A29" s="228" t="s">
        <v>50</v>
      </c>
      <c r="B29" s="33">
        <f>IF(ISERROR(TER_gezond_ele_kWh/1000),0,TER_gezond_ele_kWh/1000)</f>
        <v>0</v>
      </c>
      <c r="C29" s="39">
        <f>IF(ISERROR(B29*3.6/1000000/'E Balans VL '!Z10*100),0,B29*3.6/1000000/'E Balans VL '!Z10*100)</f>
        <v>0</v>
      </c>
      <c r="D29" s="233" t="s">
        <v>676</v>
      </c>
      <c r="F29" s="6"/>
    </row>
    <row r="30" spans="1:18">
      <c r="A30" s="228" t="s">
        <v>49</v>
      </c>
      <c r="B30" s="33">
        <f>IF(ISERROR(TER_ander_ele_kWh/1000),0,TER_ander_ele_kWh/1000)</f>
        <v>3672.1555594655802</v>
      </c>
      <c r="C30" s="39">
        <f>IF(ISERROR(B30*3.6/1000000/'E Balans VL '!Z14*100),0,B30*3.6/1000000/'E Balans VL '!Z14*100)</f>
        <v>0.2842348011186801</v>
      </c>
      <c r="D30" s="233" t="s">
        <v>676</v>
      </c>
      <c r="F30" s="6"/>
    </row>
    <row r="31" spans="1:18">
      <c r="A31" s="228" t="s">
        <v>54</v>
      </c>
      <c r="B31" s="33">
        <f>IF(ISERROR(TER_onderwijs_ele_kWh/1000),0,TER_onderwijs_ele_kWh/1000)</f>
        <v>0</v>
      </c>
      <c r="C31" s="39">
        <f>IF(ISERROR(B31*3.6/1000000/'E Balans VL '!Z11*100),0,B31*3.6/1000000/'E Balans VL '!Z11*100)</f>
        <v>0</v>
      </c>
      <c r="D31" s="233" t="s">
        <v>676</v>
      </c>
    </row>
    <row r="32" spans="1:18">
      <c r="A32" s="228" t="s">
        <v>249</v>
      </c>
      <c r="B32" s="33">
        <f>IF(ISERROR(TER_rest_ele_kWh/1000),0,TER_rest_ele_kWh/1000)</f>
        <v>2117.0666298851902</v>
      </c>
      <c r="C32" s="39">
        <f>IF(ISERROR(B32*3.6/1000000/'E Balans VL '!Z8*100),0,B32*3.6/1000000/'E Balans VL '!Z8*100)</f>
        <v>1.7457500160958383E-2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1031.8790001817381</v>
      </c>
      <c r="C5" s="17">
        <f>IF(ISERROR('Eigen informatie GS &amp; warmtenet'!B59),0,'Eigen informatie GS &amp; warmtenet'!B59)</f>
        <v>0</v>
      </c>
      <c r="D5" s="30">
        <f>SUM(D6:D15)</f>
        <v>517.85031352262047</v>
      </c>
      <c r="E5" s="17">
        <f>SUM(E6:E15)</f>
        <v>12.223859952285398</v>
      </c>
      <c r="F5" s="17">
        <f>SUM(F6:F15)</f>
        <v>416.03659293701577</v>
      </c>
      <c r="G5" s="18"/>
      <c r="H5" s="17"/>
      <c r="I5" s="17"/>
      <c r="J5" s="17">
        <f>SUM(J6:J15)</f>
        <v>4.0071834663918171</v>
      </c>
      <c r="K5" s="17"/>
      <c r="L5" s="17"/>
      <c r="M5" s="17"/>
      <c r="N5" s="17">
        <f>SUM(N6:N15)</f>
        <v>38.864572343445566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372.35441906431703</v>
      </c>
      <c r="C9" s="33"/>
      <c r="D9" s="37">
        <f>IF( ISERROR(IND_andere_gas_kWh/1000),0,IND_andere_gas_kWh/1000)*0.902</f>
        <v>96.0666373154898</v>
      </c>
      <c r="E9" s="33">
        <f>C31*'E Balans VL '!I19/100/3.6*1000000</f>
        <v>6.2541486169125768</v>
      </c>
      <c r="F9" s="33">
        <f>C31*'E Balans VL '!L19/100/3.6*1000000+C31*'E Balans VL '!N19/100/3.6*1000000</f>
        <v>291.08547710030251</v>
      </c>
      <c r="G9" s="34"/>
      <c r="H9" s="33"/>
      <c r="I9" s="33"/>
      <c r="J9" s="40">
        <f>C31*'E Balans VL '!D19/100/3.6*1000000+C31*'E Balans VL '!E19/100/3.6*1000000</f>
        <v>3.3583081683819994E-2</v>
      </c>
      <c r="K9" s="33"/>
      <c r="L9" s="33"/>
      <c r="M9" s="33"/>
      <c r="N9" s="33">
        <f>C31*'E Balans VL '!Y19/100/3.6*1000000</f>
        <v>27.597436353393881</v>
      </c>
      <c r="O9" s="33"/>
      <c r="P9" s="33"/>
      <c r="R9" s="32"/>
    </row>
    <row r="10" spans="1:18">
      <c r="A10" s="6" t="s">
        <v>40</v>
      </c>
      <c r="B10" s="37">
        <f t="shared" si="0"/>
        <v>178.68647597324198</v>
      </c>
      <c r="C10" s="33"/>
      <c r="D10" s="37">
        <f>IF( ISERROR(IND_voed_gas_kWh/1000),0,IND_voed_gas_kWh/1000)*0.902</f>
        <v>290.28590307802591</v>
      </c>
      <c r="E10" s="33">
        <f>C32*'E Balans VL '!I20/100/3.6*1000000</f>
        <v>1.6302611536183393</v>
      </c>
      <c r="F10" s="33">
        <f>C32*'E Balans VL '!L20/100/3.6*1000000+C32*'E Balans VL '!N20/100/3.6*1000000</f>
        <v>28.827717560373543</v>
      </c>
      <c r="G10" s="34"/>
      <c r="H10" s="33"/>
      <c r="I10" s="33"/>
      <c r="J10" s="40">
        <f>C32*'E Balans VL '!D20/100/3.6*1000000+C32*'E Balans VL '!E20/100/3.6*1000000</f>
        <v>0.73594806058223605</v>
      </c>
      <c r="K10" s="33"/>
      <c r="L10" s="33"/>
      <c r="M10" s="33"/>
      <c r="N10" s="33">
        <f>C32*'E Balans VL '!Y20/100/3.6*1000000</f>
        <v>2.6140422452477661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480.838105144179</v>
      </c>
      <c r="C15" s="33"/>
      <c r="D15" s="37">
        <f>IF( ISERROR(IND_rest_gas_kWh/1000),0,IND_rest_gas_kWh/1000)*0.902</f>
        <v>131.49777312910479</v>
      </c>
      <c r="E15" s="33">
        <f>C37*'E Balans VL '!I15/100/3.6*1000000</f>
        <v>4.3394501817544819</v>
      </c>
      <c r="F15" s="33">
        <f>C37*'E Balans VL '!L15/100/3.6*1000000+C37*'E Balans VL '!N15/100/3.6*1000000</f>
        <v>96.123398276339728</v>
      </c>
      <c r="G15" s="34"/>
      <c r="H15" s="33"/>
      <c r="I15" s="33"/>
      <c r="J15" s="40">
        <f>C37*'E Balans VL '!D15/100/3.6*1000000+C37*'E Balans VL '!E15/100/3.6*1000000</f>
        <v>3.2376523241257611</v>
      </c>
      <c r="K15" s="33"/>
      <c r="L15" s="33"/>
      <c r="M15" s="33"/>
      <c r="N15" s="33">
        <f>C37*'E Balans VL '!Y15/100/3.6*1000000</f>
        <v>8.65309374480392</v>
      </c>
      <c r="O15" s="33"/>
      <c r="P15" s="33"/>
      <c r="R15" s="32"/>
    </row>
    <row r="16" spans="1:18">
      <c r="A16" s="16" t="s">
        <v>483</v>
      </c>
      <c r="B16" s="243">
        <f>'lokale energieproductie'!N38+'lokale energieproductie'!N30</f>
        <v>0</v>
      </c>
      <c r="C16" s="243">
        <f>'lokale energieproductie'!O38+'lokale energieproductie'!O30</f>
        <v>0</v>
      </c>
      <c r="D16" s="302">
        <f>('lokale energieproductie'!P30+'lokale energieproductie'!P38)*(-1)</f>
        <v>0</v>
      </c>
      <c r="E16" s="244"/>
      <c r="F16" s="302">
        <f>('lokale energieproductie'!S30+'lokale energieproductie'!S38)*(-1)</f>
        <v>0</v>
      </c>
      <c r="G16" s="245"/>
      <c r="H16" s="244"/>
      <c r="I16" s="244"/>
      <c r="J16" s="244"/>
      <c r="K16" s="244"/>
      <c r="L16" s="302">
        <f>('lokale energieproductie'!T30+'lokale energieproductie'!U30+'lokale energieproductie'!T38+'lokale energieproductie'!U38)*(-1)</f>
        <v>0</v>
      </c>
      <c r="M16" s="244"/>
      <c r="N16" s="302">
        <f>('lokale energieproductie'!Q30+'lokale energieproductie'!R30+'lokale energieproductie'!V30+'lokale energieproductie'!Q38+'lokale energieproductie'!R38+'lokale energieproductie'!V38)*(-1)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1031.8790001817381</v>
      </c>
      <c r="C18" s="21">
        <f>C5+C16</f>
        <v>0</v>
      </c>
      <c r="D18" s="21">
        <f>MAX((D5+D16),0)</f>
        <v>517.85031352262047</v>
      </c>
      <c r="E18" s="21">
        <f>MAX((E5+E16),0)</f>
        <v>12.223859952285398</v>
      </c>
      <c r="F18" s="21">
        <f>MAX((F5+F16),0)</f>
        <v>416.03659293701577</v>
      </c>
      <c r="G18" s="21"/>
      <c r="H18" s="21"/>
      <c r="I18" s="21"/>
      <c r="J18" s="21">
        <f>MAX((J5+J16),0)</f>
        <v>4.0071834663918171</v>
      </c>
      <c r="K18" s="21"/>
      <c r="L18" s="21">
        <f>MAX((L5+L16),0)</f>
        <v>0</v>
      </c>
      <c r="M18" s="21"/>
      <c r="N18" s="21">
        <f>MAX((N5+N16),0)</f>
        <v>38.864572343445566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0.18463561436819637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190.52161315219541</v>
      </c>
      <c r="C22" s="23">
        <f ca="1">C18*C20</f>
        <v>0</v>
      </c>
      <c r="D22" s="23">
        <f>D18*D20</f>
        <v>104.60576333156934</v>
      </c>
      <c r="E22" s="23">
        <f>E18*E20</f>
        <v>2.7748162091687854</v>
      </c>
      <c r="F22" s="23">
        <f>F18*F20</f>
        <v>111.08177031418322</v>
      </c>
      <c r="G22" s="23"/>
      <c r="H22" s="23"/>
      <c r="I22" s="23"/>
      <c r="J22" s="23">
        <f>J18*J20</f>
        <v>1.4185429471027031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372.35441906431703</v>
      </c>
      <c r="C31" s="39">
        <f>IF(ISERROR(B31*3.6/1000000/'E Balans VL '!Z19*100),0,B31*3.6/1000000/'E Balans VL '!Z19*100)</f>
        <v>1.6504995776348393E-2</v>
      </c>
      <c r="D31" s="233" t="s">
        <v>676</v>
      </c>
    </row>
    <row r="32" spans="1:18">
      <c r="A32" s="168" t="s">
        <v>40</v>
      </c>
      <c r="B32" s="37">
        <f>IF( ISERROR(IND_voed_ele_kWh/1000),0,IND_voed_ele_kWh/1000)</f>
        <v>178.68647597324198</v>
      </c>
      <c r="C32" s="39">
        <f>IF(ISERROR(B32*3.6/1000000/'E Balans VL '!Z20*100),0,B32*3.6/1000000/'E Balans VL '!Z20*100)</f>
        <v>5.968640882664366E-3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480.838105144179</v>
      </c>
      <c r="C37" s="39">
        <f>IF(ISERROR(B37*3.6/1000000/'E Balans VL '!Z15*100),0,B37*3.6/1000000/'E Balans VL '!Z15*100)</f>
        <v>3.5766521499920501E-3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411.0623525761431</v>
      </c>
      <c r="C5" s="17">
        <f>'Eigen informatie GS &amp; warmtenet'!B60</f>
        <v>0</v>
      </c>
      <c r="D5" s="30">
        <f>IF(ISERROR(SUM(LB_lb_gas_kWh,LB_rest_gas_kWh)/1000),0,SUM(LB_lb_gas_kWh,LB_rest_gas_kWh)/1000)*0.902</f>
        <v>76.968881984283783</v>
      </c>
      <c r="E5" s="17">
        <f>B17*'E Balans VL '!I25/3.6*1000000/100</f>
        <v>3.7041933888643883</v>
      </c>
      <c r="F5" s="17">
        <f>B17*('E Balans VL '!L25/3.6*1000000+'E Balans VL '!N25/3.6*1000000)/100</f>
        <v>1540.2631720894153</v>
      </c>
      <c r="G5" s="18"/>
      <c r="H5" s="17"/>
      <c r="I5" s="17"/>
      <c r="J5" s="17">
        <f>('E Balans VL '!D25+'E Balans VL '!E25)/3.6*1000000*landbouw!B17/100</f>
        <v>41.597809974287955</v>
      </c>
      <c r="K5" s="17"/>
      <c r="L5" s="17">
        <f>L6*(-1)</f>
        <v>0</v>
      </c>
      <c r="M5" s="17"/>
      <c r="N5" s="17">
        <f>N6*(-1)</f>
        <v>0</v>
      </c>
      <c r="O5" s="17"/>
      <c r="P5" s="17"/>
      <c r="R5" s="32"/>
    </row>
    <row r="6" spans="1:18">
      <c r="A6" s="16" t="s">
        <v>483</v>
      </c>
      <c r="B6" s="17" t="s">
        <v>204</v>
      </c>
      <c r="C6" s="17">
        <f>'lokale energieproductie'!O40+'lokale energieproductie'!O32</f>
        <v>0</v>
      </c>
      <c r="D6" s="302">
        <f>('lokale energieproductie'!P32+'lokale energieproductie'!P40)*(-1)</f>
        <v>0</v>
      </c>
      <c r="E6" s="244"/>
      <c r="F6" s="302">
        <f>('lokale energieproductie'!S32+'lokale energieproductie'!S40)*(-1)</f>
        <v>0</v>
      </c>
      <c r="G6" s="245"/>
      <c r="H6" s="244"/>
      <c r="I6" s="244"/>
      <c r="J6" s="244"/>
      <c r="K6" s="244"/>
      <c r="L6" s="302">
        <f>('lokale energieproductie'!T32+'lokale energieproductie'!U32+'lokale energieproductie'!T40+'lokale energieproductie'!U40)*(-1)</f>
        <v>0</v>
      </c>
      <c r="M6" s="244"/>
      <c r="N6" s="302">
        <f>('lokale energieproductie'!V32+'lokale energieproductie'!R32+'lokale energieproductie'!Q32+'lokale energieproductie'!Q40+'lokale energieproductie'!R40+'lokale energieproductie'!V40)*(-1)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411.0623525761431</v>
      </c>
      <c r="C8" s="21">
        <f>C5+C6</f>
        <v>0</v>
      </c>
      <c r="D8" s="21">
        <f>MAX((D5+D6),0)</f>
        <v>76.968881984283783</v>
      </c>
      <c r="E8" s="21">
        <f>MAX((E5+E6),0)</f>
        <v>3.7041933888643883</v>
      </c>
      <c r="F8" s="21">
        <f>MAX((F5+F6),0)</f>
        <v>1540.2631720894153</v>
      </c>
      <c r="G8" s="21"/>
      <c r="H8" s="21"/>
      <c r="I8" s="21"/>
      <c r="J8" s="21">
        <f>MAX((J5+J6),0)</f>
        <v>41.597809974287955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0.18463561436819637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75.896750011532333</v>
      </c>
      <c r="C12" s="23">
        <f ca="1">C8*C10</f>
        <v>0</v>
      </c>
      <c r="D12" s="23">
        <f>D8*D10</f>
        <v>15.547714160825326</v>
      </c>
      <c r="E12" s="23">
        <f>E8*E10</f>
        <v>0.84085189927221615</v>
      </c>
      <c r="F12" s="23">
        <f>F8*F10</f>
        <v>411.25026694787391</v>
      </c>
      <c r="G12" s="23"/>
      <c r="H12" s="23"/>
      <c r="I12" s="23"/>
      <c r="J12" s="23">
        <f>J8*J10</f>
        <v>14.725624730897936</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6.3270431031243163E-2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141.28548560416141</v>
      </c>
      <c r="C26" s="243">
        <f>B26*'GWP N2O_CH4'!B5</f>
        <v>2966.9951976873895</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21.313015765180594</v>
      </c>
      <c r="C27" s="243">
        <f>B27*'GWP N2O_CH4'!B5</f>
        <v>447.57333106879247</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2.2105753930669749</v>
      </c>
      <c r="C28" s="243">
        <f>B28*'GWP N2O_CH4'!B4</f>
        <v>685.27837185076226</v>
      </c>
      <c r="D28" s="50"/>
    </row>
    <row r="29" spans="1:4">
      <c r="A29" s="41" t="s">
        <v>266</v>
      </c>
      <c r="B29" s="243">
        <f>B34*'ha_N2O bodem landbouw'!B4</f>
        <v>10.737950981751487</v>
      </c>
      <c r="C29" s="243">
        <f>B29*'GWP N2O_CH4'!B4</f>
        <v>3328.7648043429608</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2.7879051011972379E-3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2.6933937831512982E-6</v>
      </c>
      <c r="C5" s="431" t="s">
        <v>204</v>
      </c>
      <c r="D5" s="416">
        <f>SUM(D6:D11)</f>
        <v>1.1189742688001897E-5</v>
      </c>
      <c r="E5" s="416">
        <f>SUM(E6:E11)</f>
        <v>1.1199661354108199E-3</v>
      </c>
      <c r="F5" s="429" t="s">
        <v>204</v>
      </c>
      <c r="G5" s="416">
        <f>SUM(G6:G11)</f>
        <v>0.1689416803114249</v>
      </c>
      <c r="H5" s="416">
        <f>SUM(H6:H11)</f>
        <v>3.7626270244613097E-2</v>
      </c>
      <c r="I5" s="431" t="s">
        <v>204</v>
      </c>
      <c r="J5" s="431" t="s">
        <v>204</v>
      </c>
      <c r="K5" s="431" t="s">
        <v>204</v>
      </c>
      <c r="L5" s="431" t="s">
        <v>204</v>
      </c>
      <c r="M5" s="416">
        <f>SUM(M6:M11)</f>
        <v>9.0096203408669175E-3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1.3571656355976835E-6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4.2838619308125074E-6</v>
      </c>
      <c r="E6" s="419">
        <f>vkm_GW_PW*SUMIFS(TableVerdeelsleutelVkm[LPG],TableVerdeelsleutelVkm[Voertuigtype],"Lichte voertuigen")*SUMIFS(TableECFTransport[EnergieConsumptieFactor (PJ per km)],TableECFTransport[Index],CONCATENATE($A6,"_LPG_LPG"))</f>
        <v>4.4491531359291855E-4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5.9388405070960305E-2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1.4915808104253327E-2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3.2449048090268341E-3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2.918330629696212E-8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1.3155120305907713E-2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3.8708091010334444E-7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5.6672947563963648E-4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1.28993980517146E-6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6.9058807571893896E-6</v>
      </c>
      <c r="E8" s="419">
        <f>vkm_NGW_PW*SUMIFS(TableVerdeelsleutelVkm[LPG],TableVerdeelsleutelVkm[Voertuigtype],"Lichte voertuigen")*SUMIFS(TableECFTransport[EnergieConsumptieFactor (PJ per km)],TableECFTransport[Index],CONCATENATE($A8,"_LPG_LPG"))</f>
        <v>6.7505082181790134E-4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8.5717857640374304E-2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2.2709801212630314E-2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4.7378751126934803E-3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1.7105036085192405E-8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1.0680297294182564E-2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2.7384681934951892E-7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4.6011094350696593E-4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0.74816493976424947</v>
      </c>
      <c r="C14" s="21"/>
      <c r="D14" s="21">
        <f t="shared" ref="D14:M14" si="0">((D5)*10^9/3600)+D12</f>
        <v>3.108261857778305</v>
      </c>
      <c r="E14" s="21">
        <f t="shared" si="0"/>
        <v>311.10170428078328</v>
      </c>
      <c r="F14" s="21"/>
      <c r="G14" s="21">
        <f t="shared" si="0"/>
        <v>46928.244530951364</v>
      </c>
      <c r="H14" s="21">
        <f t="shared" si="0"/>
        <v>10451.741734614749</v>
      </c>
      <c r="I14" s="21"/>
      <c r="J14" s="21"/>
      <c r="K14" s="21"/>
      <c r="L14" s="21"/>
      <c r="M14" s="21">
        <f t="shared" si="0"/>
        <v>2502.6723169074771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0.18463561436819637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0.13813789330211682</v>
      </c>
      <c r="C18" s="23"/>
      <c r="D18" s="23">
        <f t="shared" ref="D18:M18" si="1">D14*D16</f>
        <v>0.6278688952712177</v>
      </c>
      <c r="E18" s="23">
        <f t="shared" si="1"/>
        <v>70.620086871737811</v>
      </c>
      <c r="F18" s="23"/>
      <c r="G18" s="23">
        <f t="shared" si="1"/>
        <v>12529.841289764016</v>
      </c>
      <c r="H18" s="23">
        <f t="shared" si="1"/>
        <v>2602.4836919190725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4.3318865308601879E-5</v>
      </c>
      <c r="C50" s="313">
        <f t="shared" ref="C50:P50" si="2">SUM(C51:C52)</f>
        <v>0</v>
      </c>
      <c r="D50" s="313">
        <f t="shared" si="2"/>
        <v>0</v>
      </c>
      <c r="E50" s="313">
        <f t="shared" si="2"/>
        <v>0</v>
      </c>
      <c r="F50" s="313">
        <f t="shared" si="2"/>
        <v>0</v>
      </c>
      <c r="G50" s="313">
        <f t="shared" si="2"/>
        <v>9.39759291342941E-3</v>
      </c>
      <c r="H50" s="313">
        <f t="shared" si="2"/>
        <v>0</v>
      </c>
      <c r="I50" s="313">
        <f t="shared" si="2"/>
        <v>0</v>
      </c>
      <c r="J50" s="313">
        <f t="shared" si="2"/>
        <v>0</v>
      </c>
      <c r="K50" s="313">
        <f t="shared" si="2"/>
        <v>0</v>
      </c>
      <c r="L50" s="313">
        <f t="shared" si="2"/>
        <v>0</v>
      </c>
      <c r="M50" s="313">
        <f t="shared" si="2"/>
        <v>4.0236883005840564E-4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4.3318865308601879E-5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9.39759291342941E-3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4.0236883005840564E-4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12.033018141278301</v>
      </c>
      <c r="C54" s="21">
        <f t="shared" ref="C54:P54" si="3">(C50)*10^9/3600</f>
        <v>0</v>
      </c>
      <c r="D54" s="21">
        <f t="shared" si="3"/>
        <v>0</v>
      </c>
      <c r="E54" s="21">
        <f t="shared" si="3"/>
        <v>0</v>
      </c>
      <c r="F54" s="21">
        <f t="shared" si="3"/>
        <v>0</v>
      </c>
      <c r="G54" s="21">
        <f t="shared" si="3"/>
        <v>2610.4424759526137</v>
      </c>
      <c r="H54" s="21">
        <f t="shared" si="3"/>
        <v>0</v>
      </c>
      <c r="I54" s="21">
        <f t="shared" si="3"/>
        <v>0</v>
      </c>
      <c r="J54" s="21">
        <f t="shared" si="3"/>
        <v>0</v>
      </c>
      <c r="K54" s="21">
        <f t="shared" si="3"/>
        <v>0</v>
      </c>
      <c r="L54" s="21">
        <f t="shared" si="3"/>
        <v>0</v>
      </c>
      <c r="M54" s="21">
        <f t="shared" si="3"/>
        <v>111.76911946066824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0.18463561436819637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2.2217236972185717</v>
      </c>
      <c r="C58" s="23">
        <f t="shared" ref="C58:P58" ca="1" si="4">C54*C56</f>
        <v>0</v>
      </c>
      <c r="D58" s="23">
        <f t="shared" si="4"/>
        <v>0</v>
      </c>
      <c r="E58" s="23">
        <f t="shared" si="4"/>
        <v>0</v>
      </c>
      <c r="F58" s="23">
        <f t="shared" si="4"/>
        <v>0</v>
      </c>
      <c r="G58" s="23">
        <f t="shared" si="4"/>
        <v>696.98814107934788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986.05843511748867</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B49</f>
        <v>0</v>
      </c>
      <c r="D8" s="920"/>
      <c r="E8" s="920">
        <f>E49</f>
        <v>0</v>
      </c>
      <c r="F8" s="921"/>
      <c r="G8" s="543"/>
      <c r="H8" s="920">
        <f>I49</f>
        <v>0</v>
      </c>
      <c r="I8" s="920">
        <f>G49+F49</f>
        <v>0</v>
      </c>
      <c r="J8" s="920">
        <f>H49+D49+C49</f>
        <v>0</v>
      </c>
      <c r="K8" s="920"/>
      <c r="L8" s="920"/>
      <c r="M8" s="920"/>
      <c r="N8" s="544"/>
      <c r="O8" s="545">
        <f>C8*$C$12+D8*$D$12+E8*$E$12+F8*$F$12+G8*$G$12+H8*$H$12+I8*$I$12+J8*$J$12</f>
        <v>0</v>
      </c>
      <c r="P8" s="1181"/>
      <c r="Q8" s="1182"/>
      <c r="S8" s="953"/>
      <c r="T8" s="1169"/>
      <c r="U8" s="1169"/>
    </row>
    <row r="9" spans="1:21" s="530" customFormat="1" ht="17.45" customHeight="1" thickBot="1">
      <c r="A9" s="546" t="s">
        <v>237</v>
      </c>
      <c r="B9" s="957">
        <f>N37+'Eigen informatie GS &amp; warmtenet'!B12</f>
        <v>4864.5</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13898.571428571429</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5850.5584351174884</v>
      </c>
      <c r="C10" s="554">
        <f t="shared" ref="C10:L10" si="0">SUM(C8:C9)</f>
        <v>0</v>
      </c>
      <c r="D10" s="554">
        <f t="shared" si="0"/>
        <v>0</v>
      </c>
      <c r="E10" s="554">
        <f t="shared" si="0"/>
        <v>0</v>
      </c>
      <c r="F10" s="554">
        <f t="shared" si="0"/>
        <v>0</v>
      </c>
      <c r="G10" s="554">
        <f t="shared" si="0"/>
        <v>0</v>
      </c>
      <c r="H10" s="554">
        <f t="shared" si="0"/>
        <v>0</v>
      </c>
      <c r="I10" s="554">
        <f t="shared" si="0"/>
        <v>0</v>
      </c>
      <c r="J10" s="554">
        <f t="shared" si="0"/>
        <v>13898.571428571429</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B50</f>
        <v>0</v>
      </c>
      <c r="D17" s="567"/>
      <c r="E17" s="567">
        <f>E50</f>
        <v>0</v>
      </c>
      <c r="F17" s="568"/>
      <c r="G17" s="569"/>
      <c r="H17" s="566">
        <f>I50</f>
        <v>0</v>
      </c>
      <c r="I17" s="567">
        <f>G50+F50</f>
        <v>0</v>
      </c>
      <c r="J17" s="567">
        <f>H50+D50+C50</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24045</v>
      </c>
      <c r="C28" s="736">
        <v>3040</v>
      </c>
      <c r="D28" s="626"/>
      <c r="E28" s="625"/>
      <c r="F28" s="625"/>
      <c r="G28" s="625" t="s">
        <v>962</v>
      </c>
      <c r="H28" s="625" t="s">
        <v>963</v>
      </c>
      <c r="I28" s="625"/>
      <c r="J28" s="735"/>
      <c r="K28" s="735"/>
      <c r="L28" s="625" t="s">
        <v>964</v>
      </c>
      <c r="M28" s="625">
        <v>12</v>
      </c>
      <c r="N28" s="625">
        <v>0</v>
      </c>
      <c r="O28" s="625">
        <v>0</v>
      </c>
      <c r="P28" s="625">
        <v>0</v>
      </c>
      <c r="Q28" s="625">
        <v>0</v>
      </c>
      <c r="R28" s="625">
        <v>0</v>
      </c>
      <c r="S28" s="625">
        <v>0</v>
      </c>
      <c r="T28" s="625">
        <v>0</v>
      </c>
      <c r="U28" s="625">
        <v>0</v>
      </c>
      <c r="V28" s="625">
        <v>0</v>
      </c>
      <c r="W28" s="625">
        <v>0</v>
      </c>
      <c r="X28" s="625"/>
      <c r="Y28" s="625">
        <v>1600</v>
      </c>
      <c r="Z28" s="625" t="s">
        <v>49</v>
      </c>
      <c r="AA28" s="627" t="s">
        <v>149</v>
      </c>
    </row>
    <row r="29" spans="1:27" s="561" customFormat="1" hidden="1">
      <c r="A29" s="581" t="s">
        <v>269</v>
      </c>
      <c r="B29" s="582"/>
      <c r="C29" s="582"/>
      <c r="D29" s="582"/>
      <c r="E29" s="582"/>
      <c r="F29" s="582"/>
      <c r="G29" s="582"/>
      <c r="H29" s="582"/>
      <c r="I29" s="582"/>
      <c r="J29" s="582"/>
      <c r="K29" s="582"/>
      <c r="L29" s="583"/>
      <c r="M29" s="583">
        <f>SUM(M28:M28)</f>
        <v>12</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12</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63.75" hidden="1">
      <c r="A35" s="580"/>
      <c r="B35" s="736">
        <v>24045</v>
      </c>
      <c r="C35" s="736">
        <v>3040</v>
      </c>
      <c r="D35" s="628"/>
      <c r="E35" s="628"/>
      <c r="F35" s="628"/>
      <c r="G35" s="628" t="s">
        <v>965</v>
      </c>
      <c r="H35" s="628" t="s">
        <v>966</v>
      </c>
      <c r="I35" s="628"/>
      <c r="J35" s="735"/>
      <c r="K35" s="735"/>
      <c r="L35" s="628" t="s">
        <v>967</v>
      </c>
      <c r="M35" s="628">
        <v>12</v>
      </c>
      <c r="N35" s="628">
        <v>0</v>
      </c>
      <c r="O35" s="628">
        <v>0</v>
      </c>
      <c r="P35" s="628">
        <v>0</v>
      </c>
      <c r="Q35" s="628">
        <v>0</v>
      </c>
      <c r="R35" s="628">
        <v>0</v>
      </c>
      <c r="S35" s="628">
        <v>0</v>
      </c>
      <c r="T35" s="628">
        <v>0</v>
      </c>
      <c r="U35" s="628">
        <v>0</v>
      </c>
      <c r="V35" s="628">
        <v>0</v>
      </c>
      <c r="W35" s="628">
        <v>0</v>
      </c>
      <c r="X35" s="628"/>
      <c r="Y35" s="628">
        <v>1600</v>
      </c>
      <c r="Z35" s="628" t="s">
        <v>49</v>
      </c>
      <c r="AA35" s="629" t="s">
        <v>149</v>
      </c>
    </row>
    <row r="36" spans="1:28" s="594" customFormat="1" ht="63.75" hidden="1">
      <c r="A36" s="580"/>
      <c r="B36" s="736">
        <v>24045</v>
      </c>
      <c r="C36" s="736">
        <v>3040</v>
      </c>
      <c r="D36" s="628"/>
      <c r="E36" s="628"/>
      <c r="F36" s="628"/>
      <c r="G36" s="628" t="s">
        <v>968</v>
      </c>
      <c r="H36" s="628" t="s">
        <v>969</v>
      </c>
      <c r="I36" s="628"/>
      <c r="J36" s="735"/>
      <c r="K36" s="735"/>
      <c r="L36" s="628" t="s">
        <v>967</v>
      </c>
      <c r="M36" s="628">
        <v>1081</v>
      </c>
      <c r="N36" s="628">
        <v>4864.5</v>
      </c>
      <c r="O36" s="628">
        <v>0</v>
      </c>
      <c r="P36" s="628">
        <v>0</v>
      </c>
      <c r="Q36" s="628">
        <v>0</v>
      </c>
      <c r="R36" s="628">
        <v>13898.571428571429</v>
      </c>
      <c r="S36" s="628">
        <v>0</v>
      </c>
      <c r="T36" s="628">
        <v>0</v>
      </c>
      <c r="U36" s="628">
        <v>0</v>
      </c>
      <c r="V36" s="628">
        <v>0</v>
      </c>
      <c r="W36" s="628">
        <v>0</v>
      </c>
      <c r="X36" s="628"/>
      <c r="Y36" s="628">
        <v>1600</v>
      </c>
      <c r="Z36" s="628" t="s">
        <v>49</v>
      </c>
      <c r="AA36" s="629" t="s">
        <v>149</v>
      </c>
    </row>
    <row r="37" spans="1:28" s="561" customFormat="1" hidden="1">
      <c r="A37" s="581" t="s">
        <v>269</v>
      </c>
      <c r="B37" s="582"/>
      <c r="C37" s="582"/>
      <c r="D37" s="582"/>
      <c r="E37" s="582"/>
      <c r="F37" s="582"/>
      <c r="G37" s="582"/>
      <c r="H37" s="582"/>
      <c r="I37" s="582"/>
      <c r="J37" s="582"/>
      <c r="K37" s="582"/>
      <c r="L37" s="583"/>
      <c r="M37" s="583">
        <f>SUM(M35:M36)</f>
        <v>1093</v>
      </c>
      <c r="N37" s="583">
        <f>SUM(N35:N36)</f>
        <v>4864.5</v>
      </c>
      <c r="O37" s="583">
        <f>SUM(O35:O36)</f>
        <v>0</v>
      </c>
      <c r="P37" s="583">
        <f>SUM(P35:P36)</f>
        <v>0</v>
      </c>
      <c r="Q37" s="583">
        <f>SUM(Q35:Q36)</f>
        <v>0</v>
      </c>
      <c r="R37" s="583">
        <f>SUM(R35:R36)</f>
        <v>13898.571428571429</v>
      </c>
      <c r="S37" s="583">
        <f>SUM(S35:S36)</f>
        <v>0</v>
      </c>
      <c r="T37" s="583">
        <f>SUM(T35:T36)</f>
        <v>0</v>
      </c>
      <c r="U37" s="583">
        <f>SUM(U35:U36)</f>
        <v>0</v>
      </c>
      <c r="V37" s="583">
        <f>SUM(V35:V36)</f>
        <v>0</v>
      </c>
      <c r="W37" s="583">
        <f>SUM(W35:W36)</f>
        <v>0</v>
      </c>
      <c r="X37" s="583"/>
      <c r="Y37" s="584"/>
      <c r="Z37" s="584"/>
      <c r="AA37" s="585"/>
    </row>
    <row r="38" spans="1:28" s="561" customFormat="1">
      <c r="A38" s="581" t="s">
        <v>276</v>
      </c>
      <c r="B38" s="582"/>
      <c r="C38" s="582"/>
      <c r="D38" s="582"/>
      <c r="E38" s="582"/>
      <c r="F38" s="582"/>
      <c r="G38" s="582"/>
      <c r="H38" s="582"/>
      <c r="I38" s="582"/>
      <c r="J38" s="582"/>
      <c r="K38" s="582"/>
      <c r="L38" s="583"/>
      <c r="M38" s="583">
        <f>SUMIF($AA$35:$AA$36,"industrie",M35:M36)</f>
        <v>0</v>
      </c>
      <c r="N38" s="583">
        <f>SUMIF($AA$35:$AA$36,"industrie",N35:N36)</f>
        <v>0</v>
      </c>
      <c r="O38" s="583">
        <f>SUMIF($AA$35:$AA$36,"industrie",O35:O36)</f>
        <v>0</v>
      </c>
      <c r="P38" s="583">
        <f>SUMIF($AA$35:$AA$36,"industrie",P35:P36)</f>
        <v>0</v>
      </c>
      <c r="Q38" s="583">
        <f>SUMIF($AA$35:$AA$36,"industrie",Q35:Q36)</f>
        <v>0</v>
      </c>
      <c r="R38" s="583">
        <f>SUMIF($AA$35:$AA$36,"industrie",R35:R36)</f>
        <v>0</v>
      </c>
      <c r="S38" s="583">
        <f>SUMIF($AA$35:$AA$36,"industrie",S35:S36)</f>
        <v>0</v>
      </c>
      <c r="T38" s="583">
        <f>SUMIF($AA$35:$AA$36,"industrie",T35:T36)</f>
        <v>0</v>
      </c>
      <c r="U38" s="583">
        <f>SUMIF($AA$35:$AA$36,"industrie",U35:U36)</f>
        <v>0</v>
      </c>
      <c r="V38" s="583">
        <f>SUMIF($AA$35:$AA$36,"industrie",V35:V36)</f>
        <v>0</v>
      </c>
      <c r="W38" s="583">
        <f>SUMIF($AA$35:$AA$36,"industrie",W35:W36)</f>
        <v>0</v>
      </c>
      <c r="X38" s="583"/>
      <c r="Y38" s="584"/>
      <c r="Z38" s="584"/>
      <c r="AA38" s="585"/>
    </row>
    <row r="39" spans="1:28" s="561" customFormat="1">
      <c r="A39" s="581" t="s">
        <v>277</v>
      </c>
      <c r="B39" s="582"/>
      <c r="C39" s="582"/>
      <c r="D39" s="582"/>
      <c r="E39" s="582"/>
      <c r="F39" s="582"/>
      <c r="G39" s="582"/>
      <c r="H39" s="582"/>
      <c r="I39" s="582"/>
      <c r="J39" s="582"/>
      <c r="K39" s="582"/>
      <c r="L39" s="583"/>
      <c r="M39" s="583">
        <f>SUMIF($AA$35:$AA$37,"tertiair",M35:M37)</f>
        <v>1093</v>
      </c>
      <c r="N39" s="583">
        <f>SUMIF($AA$35:$AA$37,"tertiair",N35:N37)</f>
        <v>4864.5</v>
      </c>
      <c r="O39" s="583">
        <f>SUMIF($AA$35:$AA$37,"tertiair",O35:O37)</f>
        <v>0</v>
      </c>
      <c r="P39" s="583">
        <f>SUMIF($AA$35:$AA$37,"tertiair",P35:P37)</f>
        <v>0</v>
      </c>
      <c r="Q39" s="583">
        <f>SUMIF($AA$35:$AA$37,"tertiair",Q35:Q37)</f>
        <v>0</v>
      </c>
      <c r="R39" s="583">
        <f>SUMIF($AA$35:$AA$37,"tertiair",R35:R37)</f>
        <v>13898.571428571429</v>
      </c>
      <c r="S39" s="583">
        <f>SUMIF($AA$35:$AA$37,"tertiair",S35:S37)</f>
        <v>0</v>
      </c>
      <c r="T39" s="583">
        <f>SUMIF($AA$35:$AA$37,"tertiair",T35:T37)</f>
        <v>0</v>
      </c>
      <c r="U39" s="583">
        <f>SUMIF($AA$35:$AA$37,"tertiair",U35:U37)</f>
        <v>0</v>
      </c>
      <c r="V39" s="583">
        <f>SUMIF($AA$35:$AA$37,"tertiair",V35:V37)</f>
        <v>0</v>
      </c>
      <c r="W39" s="583">
        <f>SUMIF($AA$35:$AA$37,"tertiair",W35:W37)</f>
        <v>0</v>
      </c>
      <c r="X39" s="583"/>
      <c r="Y39" s="584"/>
      <c r="Z39" s="584"/>
      <c r="AA39" s="585"/>
    </row>
    <row r="40" spans="1:28" s="561" customFormat="1" ht="15.75" thickBot="1">
      <c r="A40" s="586" t="s">
        <v>278</v>
      </c>
      <c r="B40" s="587"/>
      <c r="C40" s="587"/>
      <c r="D40" s="587"/>
      <c r="E40" s="587"/>
      <c r="F40" s="587"/>
      <c r="G40" s="587"/>
      <c r="H40" s="587"/>
      <c r="I40" s="587"/>
      <c r="J40" s="587"/>
      <c r="K40" s="587"/>
      <c r="L40" s="588"/>
      <c r="M40" s="588">
        <f>SUMIF($AA$35:$AA$38,"landbouw",M35:M38)</f>
        <v>0</v>
      </c>
      <c r="N40" s="588">
        <f>SUMIF($AA$35:$AA$38,"landbouw",N35:N38)</f>
        <v>0</v>
      </c>
      <c r="O40" s="588">
        <f>SUMIF($AA$35:$AA$38,"landbouw",O35:O38)</f>
        <v>0</v>
      </c>
      <c r="P40" s="588">
        <f>SUMIF($AA$35:$AA$38,"landbouw",P35:P38)</f>
        <v>0</v>
      </c>
      <c r="Q40" s="588">
        <f>SUMIF($AA$35:$AA$38,"landbouw",Q35:Q38)</f>
        <v>0</v>
      </c>
      <c r="R40" s="588">
        <f>SUMIF($AA$35:$AA$38,"landbouw",R35:R38)</f>
        <v>0</v>
      </c>
      <c r="S40" s="588">
        <f>SUMIF($AA$35:$AA$38,"landbouw",S35:S38)</f>
        <v>0</v>
      </c>
      <c r="T40" s="588">
        <f>SUMIF($AA$35:$AA$38,"landbouw",T35:T38)</f>
        <v>0</v>
      </c>
      <c r="U40" s="588">
        <f>SUMIF($AA$35:$AA$38,"landbouw",U35:U38)</f>
        <v>0</v>
      </c>
      <c r="V40" s="588">
        <f>SUMIF($AA$35:$AA$38,"landbouw",V35:V38)</f>
        <v>0</v>
      </c>
      <c r="W40" s="588">
        <f>SUMIF($AA$35:$AA$38,"landbouw",W35:W38)</f>
        <v>0</v>
      </c>
      <c r="X40" s="588"/>
      <c r="Y40" s="589"/>
      <c r="Z40" s="589"/>
      <c r="AA40" s="590"/>
    </row>
    <row r="41" spans="1:28" s="595" customForma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row>
    <row r="42" spans="1:28" s="595" customFormat="1" ht="15.75" thickBot="1">
      <c r="A42" s="591"/>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row>
    <row r="43" spans="1:28">
      <c r="A43" s="596" t="s">
        <v>271</v>
      </c>
      <c r="B43" s="597"/>
      <c r="C43" s="597"/>
      <c r="D43" s="597"/>
      <c r="E43" s="597"/>
      <c r="F43" s="597"/>
      <c r="G43" s="597"/>
      <c r="H43" s="597"/>
      <c r="I43" s="598"/>
      <c r="J43" s="599"/>
      <c r="K43" s="599"/>
      <c r="L43" s="600"/>
      <c r="M43" s="600"/>
      <c r="N43" s="600"/>
      <c r="O43" s="600"/>
      <c r="P43" s="600"/>
    </row>
    <row r="44" spans="1:28">
      <c r="A44" s="602"/>
      <c r="B44" s="592"/>
      <c r="C44" s="592"/>
      <c r="D44" s="592"/>
      <c r="E44" s="592"/>
      <c r="F44" s="592"/>
      <c r="G44" s="592"/>
      <c r="H44" s="592"/>
      <c r="I44" s="603"/>
      <c r="J44" s="592"/>
      <c r="K44" s="592"/>
      <c r="L44" s="600"/>
      <c r="M44" s="600"/>
      <c r="N44" s="600"/>
      <c r="O44" s="600"/>
      <c r="P44" s="600"/>
    </row>
    <row r="45" spans="1:28">
      <c r="A45" s="604"/>
      <c r="B45" s="605" t="s">
        <v>272</v>
      </c>
      <c r="C45" s="605" t="s">
        <v>273</v>
      </c>
      <c r="D45" s="605"/>
      <c r="E45" s="605"/>
      <c r="F45" s="605"/>
      <c r="G45" s="605"/>
      <c r="H45" s="605"/>
      <c r="I45" s="606"/>
      <c r="J45" s="605"/>
      <c r="K45" s="605"/>
      <c r="L45" s="605"/>
      <c r="M45" s="605"/>
      <c r="N45" s="605"/>
      <c r="O45" s="605"/>
      <c r="P45" s="600"/>
    </row>
    <row r="46" spans="1:28">
      <c r="A46" s="602" t="s">
        <v>269</v>
      </c>
      <c r="B46" s="607">
        <f>IF(ISERROR(O29/(O29+N29)),0,O29/(O29+N29))</f>
        <v>0</v>
      </c>
      <c r="C46" s="608">
        <f>IF(ISERROR(N29/(O29+N29)),0,N29/(N29+O29))</f>
        <v>0</v>
      </c>
      <c r="D46" s="575"/>
      <c r="E46" s="575"/>
      <c r="F46" s="575"/>
      <c r="G46" s="575"/>
      <c r="H46" s="575"/>
      <c r="I46" s="609"/>
      <c r="J46" s="575"/>
      <c r="K46" s="575"/>
      <c r="L46" s="610"/>
      <c r="M46" s="610"/>
      <c r="N46" s="610"/>
      <c r="O46" s="610"/>
      <c r="P46" s="600"/>
    </row>
    <row r="47" spans="1:28">
      <c r="A47" s="602"/>
      <c r="B47" s="611"/>
      <c r="C47" s="611"/>
      <c r="D47" s="611"/>
      <c r="E47" s="611"/>
      <c r="F47" s="611"/>
      <c r="G47" s="611"/>
      <c r="H47" s="611"/>
      <c r="I47" s="612"/>
      <c r="J47" s="611"/>
      <c r="K47" s="611"/>
      <c r="L47" s="613"/>
      <c r="M47" s="613"/>
      <c r="N47" s="613"/>
      <c r="O47" s="613"/>
      <c r="P47" s="600"/>
    </row>
    <row r="48" spans="1:28" ht="30">
      <c r="A48" s="614"/>
      <c r="B48" s="615" t="s">
        <v>528</v>
      </c>
      <c r="C48" s="615" t="s">
        <v>96</v>
      </c>
      <c r="D48" s="615" t="s">
        <v>97</v>
      </c>
      <c r="E48" s="615" t="s">
        <v>98</v>
      </c>
      <c r="F48" s="615" t="s">
        <v>99</v>
      </c>
      <c r="G48" s="615" t="s">
        <v>100</v>
      </c>
      <c r="H48" s="615" t="s">
        <v>101</v>
      </c>
      <c r="I48" s="616" t="s">
        <v>102</v>
      </c>
      <c r="J48" s="605"/>
      <c r="K48" s="605"/>
      <c r="L48" s="613"/>
      <c r="M48" s="613"/>
      <c r="N48" s="613"/>
      <c r="O48" s="600"/>
      <c r="P48" s="600"/>
    </row>
    <row r="49" spans="1:16">
      <c r="A49" s="604" t="s">
        <v>274</v>
      </c>
      <c r="B49" s="617">
        <f t="shared" ref="B49:I49" si="2">$C$46*P29</f>
        <v>0</v>
      </c>
      <c r="C49" s="617">
        <f t="shared" si="2"/>
        <v>0</v>
      </c>
      <c r="D49" s="617">
        <f t="shared" si="2"/>
        <v>0</v>
      </c>
      <c r="E49" s="617">
        <f t="shared" si="2"/>
        <v>0</v>
      </c>
      <c r="F49" s="617">
        <f t="shared" si="2"/>
        <v>0</v>
      </c>
      <c r="G49" s="617">
        <f t="shared" si="2"/>
        <v>0</v>
      </c>
      <c r="H49" s="617">
        <f t="shared" si="2"/>
        <v>0</v>
      </c>
      <c r="I49" s="618">
        <f t="shared" si="2"/>
        <v>0</v>
      </c>
      <c r="J49" s="575"/>
      <c r="K49" s="575"/>
      <c r="L49" s="613"/>
      <c r="M49" s="613"/>
      <c r="N49" s="613"/>
      <c r="O49" s="600"/>
      <c r="P49" s="600"/>
    </row>
    <row r="50" spans="1:16" ht="15.75" thickBot="1">
      <c r="A50" s="619" t="s">
        <v>275</v>
      </c>
      <c r="B50" s="620">
        <f t="shared" ref="B50:I50" si="3">$B$46*P29</f>
        <v>0</v>
      </c>
      <c r="C50" s="620">
        <f t="shared" si="3"/>
        <v>0</v>
      </c>
      <c r="D50" s="620">
        <f t="shared" si="3"/>
        <v>0</v>
      </c>
      <c r="E50" s="620">
        <f t="shared" si="3"/>
        <v>0</v>
      </c>
      <c r="F50" s="620">
        <f t="shared" si="3"/>
        <v>0</v>
      </c>
      <c r="G50" s="620">
        <f t="shared" si="3"/>
        <v>0</v>
      </c>
      <c r="H50" s="620">
        <f t="shared" si="3"/>
        <v>0</v>
      </c>
      <c r="I50" s="621">
        <f t="shared" si="3"/>
        <v>0</v>
      </c>
      <c r="J50" s="575"/>
      <c r="K50" s="575"/>
      <c r="L50" s="613"/>
      <c r="M50" s="613"/>
      <c r="N50" s="613"/>
      <c r="O50" s="600"/>
      <c r="P50" s="600"/>
    </row>
    <row r="51" spans="1:16">
      <c r="J51" s="559"/>
      <c r="K51" s="559"/>
      <c r="L51" s="559"/>
      <c r="M51" s="559"/>
      <c r="N51" s="559"/>
    </row>
    <row r="52" spans="1:16">
      <c r="J52" s="559"/>
      <c r="K52" s="559"/>
      <c r="L52" s="559"/>
      <c r="M52" s="559"/>
      <c r="N52"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14397.900041095741</v>
      </c>
      <c r="D10" s="635">
        <f ca="1">tertiair!C16</f>
        <v>0</v>
      </c>
      <c r="E10" s="635">
        <f ca="1">tertiair!D16</f>
        <v>6342.1919572881488</v>
      </c>
      <c r="F10" s="635">
        <f>tertiair!E16</f>
        <v>141.04812788296721</v>
      </c>
      <c r="G10" s="635">
        <f ca="1">tertiair!F16</f>
        <v>1858.429920119554</v>
      </c>
      <c r="H10" s="635">
        <f>tertiair!G16</f>
        <v>0</v>
      </c>
      <c r="I10" s="635">
        <f>tertiair!H16</f>
        <v>0</v>
      </c>
      <c r="J10" s="635">
        <f>tertiair!I16</f>
        <v>0</v>
      </c>
      <c r="K10" s="635">
        <f>tertiair!J16</f>
        <v>0</v>
      </c>
      <c r="L10" s="635">
        <f>tertiair!K16</f>
        <v>0</v>
      </c>
      <c r="M10" s="635">
        <f ca="1">tertiair!L16</f>
        <v>0</v>
      </c>
      <c r="N10" s="635">
        <f>tertiair!M16</f>
        <v>0</v>
      </c>
      <c r="O10" s="635">
        <f ca="1">tertiair!N16</f>
        <v>0</v>
      </c>
      <c r="P10" s="635">
        <f>tertiair!O16</f>
        <v>1.5633333333333335</v>
      </c>
      <c r="Q10" s="636">
        <f>tertiair!P16</f>
        <v>0</v>
      </c>
      <c r="R10" s="638">
        <f ca="1">SUM(C10:Q10)</f>
        <v>22741.133379719744</v>
      </c>
      <c r="S10" s="67"/>
    </row>
    <row r="11" spans="1:19" s="441" customFormat="1">
      <c r="A11" s="749" t="s">
        <v>214</v>
      </c>
      <c r="B11" s="754"/>
      <c r="C11" s="635">
        <f>huishoudens!B8</f>
        <v>18938.443763365784</v>
      </c>
      <c r="D11" s="635">
        <f>huishoudens!C8</f>
        <v>0</v>
      </c>
      <c r="E11" s="635">
        <f>huishoudens!D8</f>
        <v>22167.794923423739</v>
      </c>
      <c r="F11" s="635">
        <f>huishoudens!E8</f>
        <v>1215.9272849727176</v>
      </c>
      <c r="G11" s="635">
        <f>huishoudens!F8</f>
        <v>41504.943016533158</v>
      </c>
      <c r="H11" s="635">
        <f>huishoudens!G8</f>
        <v>0</v>
      </c>
      <c r="I11" s="635">
        <f>huishoudens!H8</f>
        <v>0</v>
      </c>
      <c r="J11" s="635">
        <f>huishoudens!I8</f>
        <v>0</v>
      </c>
      <c r="K11" s="635">
        <f>huishoudens!J8</f>
        <v>934.58608978226653</v>
      </c>
      <c r="L11" s="635">
        <f>huishoudens!K8</f>
        <v>0</v>
      </c>
      <c r="M11" s="635">
        <f>huishoudens!L8</f>
        <v>0</v>
      </c>
      <c r="N11" s="635">
        <f>huishoudens!M8</f>
        <v>0</v>
      </c>
      <c r="O11" s="635">
        <f>huishoudens!N8</f>
        <v>4785.4928393197097</v>
      </c>
      <c r="P11" s="635">
        <f>huishoudens!O8</f>
        <v>82.856666666666683</v>
      </c>
      <c r="Q11" s="636">
        <f>huishoudens!P8</f>
        <v>305.06666666666666</v>
      </c>
      <c r="R11" s="638">
        <f>SUM(C11:Q11)</f>
        <v>89935.111250730712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1031.8790001817381</v>
      </c>
      <c r="D13" s="635">
        <f>industrie!C18</f>
        <v>0</v>
      </c>
      <c r="E13" s="635">
        <f>industrie!D18</f>
        <v>517.85031352262047</v>
      </c>
      <c r="F13" s="635">
        <f>industrie!E18</f>
        <v>12.223859952285398</v>
      </c>
      <c r="G13" s="635">
        <f>industrie!F18</f>
        <v>416.03659293701577</v>
      </c>
      <c r="H13" s="635">
        <f>industrie!G18</f>
        <v>0</v>
      </c>
      <c r="I13" s="635">
        <f>industrie!H18</f>
        <v>0</v>
      </c>
      <c r="J13" s="635">
        <f>industrie!I18</f>
        <v>0</v>
      </c>
      <c r="K13" s="635">
        <f>industrie!J18</f>
        <v>4.0071834663918171</v>
      </c>
      <c r="L13" s="635">
        <f>industrie!K18</f>
        <v>0</v>
      </c>
      <c r="M13" s="635">
        <f>industrie!L18</f>
        <v>0</v>
      </c>
      <c r="N13" s="635">
        <f>industrie!M18</f>
        <v>0</v>
      </c>
      <c r="O13" s="635">
        <f>industrie!N18</f>
        <v>38.864572343445566</v>
      </c>
      <c r="P13" s="635">
        <f>industrie!O18</f>
        <v>0</v>
      </c>
      <c r="Q13" s="636">
        <f>industrie!P18</f>
        <v>0</v>
      </c>
      <c r="R13" s="638">
        <f>SUM(C13:Q13)</f>
        <v>2020.861522403497</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34368.222804643265</v>
      </c>
      <c r="D16" s="668">
        <f t="shared" ref="D16:R16" ca="1" si="0">SUM(D9:D15)</f>
        <v>0</v>
      </c>
      <c r="E16" s="668">
        <f t="shared" ca="1" si="0"/>
        <v>29027.837194234507</v>
      </c>
      <c r="F16" s="668">
        <f t="shared" si="0"/>
        <v>1369.1992728079704</v>
      </c>
      <c r="G16" s="668">
        <f t="shared" ca="1" si="0"/>
        <v>43779.409529589728</v>
      </c>
      <c r="H16" s="668">
        <f t="shared" si="0"/>
        <v>0</v>
      </c>
      <c r="I16" s="668">
        <f t="shared" si="0"/>
        <v>0</v>
      </c>
      <c r="J16" s="668">
        <f t="shared" si="0"/>
        <v>0</v>
      </c>
      <c r="K16" s="668">
        <f t="shared" si="0"/>
        <v>938.59327324865831</v>
      </c>
      <c r="L16" s="668">
        <f t="shared" si="0"/>
        <v>0</v>
      </c>
      <c r="M16" s="668">
        <f t="shared" ca="1" si="0"/>
        <v>0</v>
      </c>
      <c r="N16" s="668">
        <f t="shared" si="0"/>
        <v>0</v>
      </c>
      <c r="O16" s="668">
        <f t="shared" ca="1" si="0"/>
        <v>4824.3574116631553</v>
      </c>
      <c r="P16" s="668">
        <f t="shared" si="0"/>
        <v>84.420000000000016</v>
      </c>
      <c r="Q16" s="668">
        <f t="shared" si="0"/>
        <v>305.06666666666666</v>
      </c>
      <c r="R16" s="668">
        <f t="shared" ca="1" si="0"/>
        <v>114697.10615285396</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12.033018141278301</v>
      </c>
      <c r="D19" s="635">
        <f>transport!C54</f>
        <v>0</v>
      </c>
      <c r="E19" s="635">
        <f>transport!D54</f>
        <v>0</v>
      </c>
      <c r="F19" s="635">
        <f>transport!E54</f>
        <v>0</v>
      </c>
      <c r="G19" s="635">
        <f>transport!F54</f>
        <v>0</v>
      </c>
      <c r="H19" s="635">
        <f>transport!G54</f>
        <v>2610.4424759526137</v>
      </c>
      <c r="I19" s="635">
        <f>transport!H54</f>
        <v>0</v>
      </c>
      <c r="J19" s="635">
        <f>transport!I54</f>
        <v>0</v>
      </c>
      <c r="K19" s="635">
        <f>transport!J54</f>
        <v>0</v>
      </c>
      <c r="L19" s="635">
        <f>transport!K54</f>
        <v>0</v>
      </c>
      <c r="M19" s="635">
        <f>transport!L54</f>
        <v>0</v>
      </c>
      <c r="N19" s="635">
        <f>transport!M54</f>
        <v>111.76911946066824</v>
      </c>
      <c r="O19" s="635">
        <f>transport!N54</f>
        <v>0</v>
      </c>
      <c r="P19" s="635">
        <f>transport!O54</f>
        <v>0</v>
      </c>
      <c r="Q19" s="636">
        <f>transport!P54</f>
        <v>0</v>
      </c>
      <c r="R19" s="638">
        <f>SUM(C19:Q19)</f>
        <v>2734.2446135545601</v>
      </c>
      <c r="S19" s="67"/>
    </row>
    <row r="20" spans="1:19" s="441" customFormat="1">
      <c r="A20" s="749" t="s">
        <v>296</v>
      </c>
      <c r="B20" s="754"/>
      <c r="C20" s="635">
        <f>transport!B14</f>
        <v>0.74816493976424947</v>
      </c>
      <c r="D20" s="635">
        <f>transport!C14</f>
        <v>0</v>
      </c>
      <c r="E20" s="635">
        <f>transport!D14</f>
        <v>3.108261857778305</v>
      </c>
      <c r="F20" s="635">
        <f>transport!E14</f>
        <v>311.10170428078328</v>
      </c>
      <c r="G20" s="635">
        <f>transport!F14</f>
        <v>0</v>
      </c>
      <c r="H20" s="635">
        <f>transport!G14</f>
        <v>46928.244530951364</v>
      </c>
      <c r="I20" s="635">
        <f>transport!H14</f>
        <v>10451.741734614749</v>
      </c>
      <c r="J20" s="635">
        <f>transport!I14</f>
        <v>0</v>
      </c>
      <c r="K20" s="635">
        <f>transport!J14</f>
        <v>0</v>
      </c>
      <c r="L20" s="635">
        <f>transport!K14</f>
        <v>0</v>
      </c>
      <c r="M20" s="635">
        <f>transport!L14</f>
        <v>0</v>
      </c>
      <c r="N20" s="635">
        <f>transport!M14</f>
        <v>2502.6723169074771</v>
      </c>
      <c r="O20" s="635">
        <f>transport!N14</f>
        <v>0</v>
      </c>
      <c r="P20" s="635">
        <f>transport!O14</f>
        <v>0</v>
      </c>
      <c r="Q20" s="636">
        <f>transport!P14</f>
        <v>0</v>
      </c>
      <c r="R20" s="638">
        <f>SUM(C20:Q20)</f>
        <v>60197.616713551914</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12.781183081042551</v>
      </c>
      <c r="D22" s="752">
        <f t="shared" ref="D22:R22" si="1">SUM(D18:D21)</f>
        <v>0</v>
      </c>
      <c r="E22" s="752">
        <f t="shared" si="1"/>
        <v>3.108261857778305</v>
      </c>
      <c r="F22" s="752">
        <f t="shared" si="1"/>
        <v>311.10170428078328</v>
      </c>
      <c r="G22" s="752">
        <f t="shared" si="1"/>
        <v>0</v>
      </c>
      <c r="H22" s="752">
        <f t="shared" si="1"/>
        <v>49538.68700690398</v>
      </c>
      <c r="I22" s="752">
        <f t="shared" si="1"/>
        <v>10451.741734614749</v>
      </c>
      <c r="J22" s="752">
        <f t="shared" si="1"/>
        <v>0</v>
      </c>
      <c r="K22" s="752">
        <f t="shared" si="1"/>
        <v>0</v>
      </c>
      <c r="L22" s="752">
        <f t="shared" si="1"/>
        <v>0</v>
      </c>
      <c r="M22" s="752">
        <f t="shared" si="1"/>
        <v>0</v>
      </c>
      <c r="N22" s="752">
        <f t="shared" si="1"/>
        <v>2614.4414363681453</v>
      </c>
      <c r="O22" s="752">
        <f t="shared" si="1"/>
        <v>0</v>
      </c>
      <c r="P22" s="752">
        <f t="shared" si="1"/>
        <v>0</v>
      </c>
      <c r="Q22" s="752">
        <f t="shared" si="1"/>
        <v>0</v>
      </c>
      <c r="R22" s="752">
        <f t="shared" si="1"/>
        <v>62931.861327106475</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411.0623525761431</v>
      </c>
      <c r="D24" s="635">
        <f>+landbouw!C8</f>
        <v>0</v>
      </c>
      <c r="E24" s="635">
        <f>+landbouw!D8</f>
        <v>76.968881984283783</v>
      </c>
      <c r="F24" s="635">
        <f>+landbouw!E8</f>
        <v>3.7041933888643883</v>
      </c>
      <c r="G24" s="635">
        <f>+landbouw!F8</f>
        <v>1540.2631720894153</v>
      </c>
      <c r="H24" s="635">
        <f>+landbouw!G8</f>
        <v>0</v>
      </c>
      <c r="I24" s="635">
        <f>+landbouw!H8</f>
        <v>0</v>
      </c>
      <c r="J24" s="635">
        <f>+landbouw!I8</f>
        <v>0</v>
      </c>
      <c r="K24" s="635">
        <f>+landbouw!J8</f>
        <v>41.597809974287955</v>
      </c>
      <c r="L24" s="635">
        <f>+landbouw!K8</f>
        <v>0</v>
      </c>
      <c r="M24" s="635">
        <f>+landbouw!L8</f>
        <v>0</v>
      </c>
      <c r="N24" s="635">
        <f>+landbouw!M8</f>
        <v>0</v>
      </c>
      <c r="O24" s="635">
        <f>+landbouw!N8</f>
        <v>0</v>
      </c>
      <c r="P24" s="635">
        <f>+landbouw!O8</f>
        <v>0</v>
      </c>
      <c r="Q24" s="636">
        <f>+landbouw!P8</f>
        <v>0</v>
      </c>
      <c r="R24" s="638">
        <f>SUM(C24:Q24)</f>
        <v>2073.5964100129945</v>
      </c>
      <c r="S24" s="67"/>
    </row>
    <row r="25" spans="1:19" s="441" customFormat="1" ht="15" thickBot="1">
      <c r="A25" s="771" t="s">
        <v>864</v>
      </c>
      <c r="B25" s="923"/>
      <c r="C25" s="924">
        <f>IF(Onbekend_ele_kWh="---",0,Onbekend_ele_kWh)/1000+IF(REST_rest_ele_kWh="---",0,REST_rest_ele_kWh)/1000</f>
        <v>763.96992145761192</v>
      </c>
      <c r="D25" s="924"/>
      <c r="E25" s="924">
        <f>IF(onbekend_gas_kWh="---",0,onbekend_gas_kWh)/1000+IF(REST_rest_gas_kWh="---",0,REST_rest_gas_kWh)/1000</f>
        <v>1354.6609303047101</v>
      </c>
      <c r="F25" s="924"/>
      <c r="G25" s="924"/>
      <c r="H25" s="924"/>
      <c r="I25" s="924"/>
      <c r="J25" s="924"/>
      <c r="K25" s="924"/>
      <c r="L25" s="924"/>
      <c r="M25" s="924"/>
      <c r="N25" s="924"/>
      <c r="O25" s="924"/>
      <c r="P25" s="924"/>
      <c r="Q25" s="925"/>
      <c r="R25" s="638">
        <f>SUM(C25:Q25)</f>
        <v>2118.630851762322</v>
      </c>
      <c r="S25" s="67"/>
    </row>
    <row r="26" spans="1:19" s="441" customFormat="1" ht="15.75" thickBot="1">
      <c r="A26" s="641" t="s">
        <v>865</v>
      </c>
      <c r="B26" s="757"/>
      <c r="C26" s="752">
        <f>SUM(C24:C25)</f>
        <v>1175.0322740337551</v>
      </c>
      <c r="D26" s="752">
        <f t="shared" ref="D26:R26" si="2">SUM(D24:D25)</f>
        <v>0</v>
      </c>
      <c r="E26" s="752">
        <f t="shared" si="2"/>
        <v>1431.6298122889939</v>
      </c>
      <c r="F26" s="752">
        <f t="shared" si="2"/>
        <v>3.7041933888643883</v>
      </c>
      <c r="G26" s="752">
        <f t="shared" si="2"/>
        <v>1540.2631720894153</v>
      </c>
      <c r="H26" s="752">
        <f t="shared" si="2"/>
        <v>0</v>
      </c>
      <c r="I26" s="752">
        <f t="shared" si="2"/>
        <v>0</v>
      </c>
      <c r="J26" s="752">
        <f t="shared" si="2"/>
        <v>0</v>
      </c>
      <c r="K26" s="752">
        <f t="shared" si="2"/>
        <v>41.597809974287955</v>
      </c>
      <c r="L26" s="752">
        <f t="shared" si="2"/>
        <v>0</v>
      </c>
      <c r="M26" s="752">
        <f t="shared" si="2"/>
        <v>0</v>
      </c>
      <c r="N26" s="752">
        <f t="shared" si="2"/>
        <v>0</v>
      </c>
      <c r="O26" s="752">
        <f t="shared" si="2"/>
        <v>0</v>
      </c>
      <c r="P26" s="752">
        <f t="shared" si="2"/>
        <v>0</v>
      </c>
      <c r="Q26" s="752">
        <f t="shared" si="2"/>
        <v>0</v>
      </c>
      <c r="R26" s="752">
        <f t="shared" si="2"/>
        <v>4192.2272617753169</v>
      </c>
      <c r="S26" s="67"/>
    </row>
    <row r="27" spans="1:19" s="441" customFormat="1" ht="17.25" thickTop="1" thickBot="1">
      <c r="A27" s="642" t="s">
        <v>109</v>
      </c>
      <c r="B27" s="744"/>
      <c r="C27" s="643">
        <f ca="1">C22+C16+C26</f>
        <v>35556.036261758069</v>
      </c>
      <c r="D27" s="643">
        <f t="shared" ref="D27:R27" ca="1" si="3">D22+D16+D26</f>
        <v>0</v>
      </c>
      <c r="E27" s="643">
        <f t="shared" ca="1" si="3"/>
        <v>30462.575268381279</v>
      </c>
      <c r="F27" s="643">
        <f t="shared" si="3"/>
        <v>1684.0051704776181</v>
      </c>
      <c r="G27" s="643">
        <f t="shared" ca="1" si="3"/>
        <v>45319.672701679141</v>
      </c>
      <c r="H27" s="643">
        <f t="shared" si="3"/>
        <v>49538.68700690398</v>
      </c>
      <c r="I27" s="643">
        <f t="shared" si="3"/>
        <v>10451.741734614749</v>
      </c>
      <c r="J27" s="643">
        <f t="shared" si="3"/>
        <v>0</v>
      </c>
      <c r="K27" s="643">
        <f t="shared" si="3"/>
        <v>980.1910832229463</v>
      </c>
      <c r="L27" s="643">
        <f t="shared" si="3"/>
        <v>0</v>
      </c>
      <c r="M27" s="643">
        <f t="shared" ca="1" si="3"/>
        <v>0</v>
      </c>
      <c r="N27" s="643">
        <f t="shared" si="3"/>
        <v>2614.4414363681453</v>
      </c>
      <c r="O27" s="643">
        <f t="shared" ca="1" si="3"/>
        <v>4824.3574116631553</v>
      </c>
      <c r="P27" s="643">
        <f t="shared" si="3"/>
        <v>84.420000000000016</v>
      </c>
      <c r="Q27" s="643">
        <f t="shared" si="3"/>
        <v>305.06666666666666</v>
      </c>
      <c r="R27" s="643">
        <f t="shared" ca="1" si="3"/>
        <v>181821.19474173576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2658.365119699592</v>
      </c>
      <c r="D40" s="635">
        <f ca="1">tertiair!C20</f>
        <v>0</v>
      </c>
      <c r="E40" s="635">
        <f ca="1">tertiair!D20</f>
        <v>1281.1227753722062</v>
      </c>
      <c r="F40" s="635">
        <f>tertiair!E20</f>
        <v>32.017925029433556</v>
      </c>
      <c r="G40" s="635">
        <f ca="1">tertiair!F20</f>
        <v>496.20078867192098</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4467.7066087731528</v>
      </c>
    </row>
    <row r="41" spans="1:18">
      <c r="A41" s="762" t="s">
        <v>214</v>
      </c>
      <c r="B41" s="769"/>
      <c r="C41" s="635">
        <f ca="1">huishoudens!B12</f>
        <v>3496.7111994265783</v>
      </c>
      <c r="D41" s="635">
        <f ca="1">huishoudens!C12</f>
        <v>0</v>
      </c>
      <c r="E41" s="635">
        <f>huishoudens!D12</f>
        <v>4477.894574531595</v>
      </c>
      <c r="F41" s="635">
        <f>huishoudens!E12</f>
        <v>276.01549368880694</v>
      </c>
      <c r="G41" s="635">
        <f>huishoudens!F12</f>
        <v>11081.819785414355</v>
      </c>
      <c r="H41" s="635">
        <f>huishoudens!G12</f>
        <v>0</v>
      </c>
      <c r="I41" s="635">
        <f>huishoudens!H12</f>
        <v>0</v>
      </c>
      <c r="J41" s="635">
        <f>huishoudens!I12</f>
        <v>0</v>
      </c>
      <c r="K41" s="635">
        <f>huishoudens!J12</f>
        <v>330.84347578292233</v>
      </c>
      <c r="L41" s="635">
        <f>huishoudens!K12</f>
        <v>0</v>
      </c>
      <c r="M41" s="635">
        <f>huishoudens!L12</f>
        <v>0</v>
      </c>
      <c r="N41" s="635">
        <f>huishoudens!M12</f>
        <v>0</v>
      </c>
      <c r="O41" s="635">
        <f>huishoudens!N12</f>
        <v>0</v>
      </c>
      <c r="P41" s="635">
        <f>huishoudens!O12</f>
        <v>0</v>
      </c>
      <c r="Q41" s="710">
        <f>huishoudens!P12</f>
        <v>0</v>
      </c>
      <c r="R41" s="790">
        <f t="shared" ca="1" si="4"/>
        <v>19663.284528844259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190.52161315219541</v>
      </c>
      <c r="D43" s="635">
        <f ca="1">industrie!C22</f>
        <v>0</v>
      </c>
      <c r="E43" s="635">
        <f>industrie!D22</f>
        <v>104.60576333156934</v>
      </c>
      <c r="F43" s="635">
        <f>industrie!E22</f>
        <v>2.7748162091687854</v>
      </c>
      <c r="G43" s="635">
        <f>industrie!F22</f>
        <v>111.08177031418322</v>
      </c>
      <c r="H43" s="635">
        <f>industrie!G22</f>
        <v>0</v>
      </c>
      <c r="I43" s="635">
        <f>industrie!H22</f>
        <v>0</v>
      </c>
      <c r="J43" s="635">
        <f>industrie!I22</f>
        <v>0</v>
      </c>
      <c r="K43" s="635">
        <f>industrie!J22</f>
        <v>1.4185429471027031</v>
      </c>
      <c r="L43" s="635">
        <f>industrie!K22</f>
        <v>0</v>
      </c>
      <c r="M43" s="635">
        <f>industrie!L22</f>
        <v>0</v>
      </c>
      <c r="N43" s="635">
        <f>industrie!M22</f>
        <v>0</v>
      </c>
      <c r="O43" s="635">
        <f>industrie!N22</f>
        <v>0</v>
      </c>
      <c r="P43" s="635">
        <f>industrie!O22</f>
        <v>0</v>
      </c>
      <c r="Q43" s="710">
        <f>industrie!P22</f>
        <v>0</v>
      </c>
      <c r="R43" s="789">
        <f t="shared" ca="1" si="4"/>
        <v>410.40250595421941</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6345.597932278366</v>
      </c>
      <c r="D46" s="668">
        <f t="shared" ref="D46:Q46" ca="1" si="5">SUM(D39:D45)</f>
        <v>0</v>
      </c>
      <c r="E46" s="668">
        <f t="shared" ca="1" si="5"/>
        <v>5863.6231132353705</v>
      </c>
      <c r="F46" s="668">
        <f t="shared" si="5"/>
        <v>310.80823492740927</v>
      </c>
      <c r="G46" s="668">
        <f t="shared" ca="1" si="5"/>
        <v>11689.102344400459</v>
      </c>
      <c r="H46" s="668">
        <f t="shared" si="5"/>
        <v>0</v>
      </c>
      <c r="I46" s="668">
        <f t="shared" si="5"/>
        <v>0</v>
      </c>
      <c r="J46" s="668">
        <f t="shared" si="5"/>
        <v>0</v>
      </c>
      <c r="K46" s="668">
        <f t="shared" si="5"/>
        <v>332.26201873002503</v>
      </c>
      <c r="L46" s="668">
        <f t="shared" si="5"/>
        <v>0</v>
      </c>
      <c r="M46" s="668">
        <f t="shared" ca="1" si="5"/>
        <v>0</v>
      </c>
      <c r="N46" s="668">
        <f t="shared" si="5"/>
        <v>0</v>
      </c>
      <c r="O46" s="668">
        <f t="shared" ca="1" si="5"/>
        <v>0</v>
      </c>
      <c r="P46" s="668">
        <f t="shared" si="5"/>
        <v>0</v>
      </c>
      <c r="Q46" s="668">
        <f t="shared" si="5"/>
        <v>0</v>
      </c>
      <c r="R46" s="668">
        <f ca="1">SUM(R39:R45)</f>
        <v>24541.393643571631</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2.2217236972185717</v>
      </c>
      <c r="D49" s="635">
        <f ca="1">transport!C58</f>
        <v>0</v>
      </c>
      <c r="E49" s="635">
        <f>transport!D58</f>
        <v>0</v>
      </c>
      <c r="F49" s="635">
        <f>transport!E58</f>
        <v>0</v>
      </c>
      <c r="G49" s="635">
        <f>transport!F58</f>
        <v>0</v>
      </c>
      <c r="H49" s="635">
        <f>transport!G58</f>
        <v>696.98814107934788</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699.20986477656641</v>
      </c>
    </row>
    <row r="50" spans="1:18">
      <c r="A50" s="765" t="s">
        <v>296</v>
      </c>
      <c r="B50" s="775"/>
      <c r="C50" s="930">
        <f ca="1">transport!B18</f>
        <v>0.13813789330211682</v>
      </c>
      <c r="D50" s="930">
        <f>transport!C18</f>
        <v>0</v>
      </c>
      <c r="E50" s="930">
        <f>transport!D18</f>
        <v>0.6278688952712177</v>
      </c>
      <c r="F50" s="930">
        <f>transport!E18</f>
        <v>70.620086871737811</v>
      </c>
      <c r="G50" s="930">
        <f>transport!F18</f>
        <v>0</v>
      </c>
      <c r="H50" s="930">
        <f>transport!G18</f>
        <v>12529.841289764016</v>
      </c>
      <c r="I50" s="930">
        <f>transport!H18</f>
        <v>2602.4836919190725</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15203.711075343399</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2.3598615905206883</v>
      </c>
      <c r="D52" s="668">
        <f t="shared" ref="D52:Q52" ca="1" si="6">SUM(D48:D51)</f>
        <v>0</v>
      </c>
      <c r="E52" s="668">
        <f t="shared" si="6"/>
        <v>0.6278688952712177</v>
      </c>
      <c r="F52" s="668">
        <f t="shared" si="6"/>
        <v>70.620086871737811</v>
      </c>
      <c r="G52" s="668">
        <f t="shared" si="6"/>
        <v>0</v>
      </c>
      <c r="H52" s="668">
        <f t="shared" si="6"/>
        <v>13226.829430843363</v>
      </c>
      <c r="I52" s="668">
        <f t="shared" si="6"/>
        <v>2602.4836919190725</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15902.920940119966</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75.896750011532333</v>
      </c>
      <c r="D54" s="930">
        <f ca="1">+landbouw!C12</f>
        <v>0</v>
      </c>
      <c r="E54" s="930">
        <f>+landbouw!D12</f>
        <v>15.547714160825326</v>
      </c>
      <c r="F54" s="930">
        <f>+landbouw!E12</f>
        <v>0.84085189927221615</v>
      </c>
      <c r="G54" s="930">
        <f>+landbouw!F12</f>
        <v>411.25026694787391</v>
      </c>
      <c r="H54" s="930">
        <f>+landbouw!G12</f>
        <v>0</v>
      </c>
      <c r="I54" s="930">
        <f>+landbouw!H12</f>
        <v>0</v>
      </c>
      <c r="J54" s="930">
        <f>+landbouw!I12</f>
        <v>0</v>
      </c>
      <c r="K54" s="930">
        <f>+landbouw!J12</f>
        <v>14.725624730897936</v>
      </c>
      <c r="L54" s="930">
        <f>+landbouw!K12</f>
        <v>0</v>
      </c>
      <c r="M54" s="930">
        <f>+landbouw!L12</f>
        <v>0</v>
      </c>
      <c r="N54" s="930">
        <f>+landbouw!M12</f>
        <v>0</v>
      </c>
      <c r="O54" s="930">
        <f>+landbouw!N12</f>
        <v>0</v>
      </c>
      <c r="P54" s="930">
        <f>+landbouw!O12</f>
        <v>0</v>
      </c>
      <c r="Q54" s="931">
        <f>+landbouw!P12</f>
        <v>0</v>
      </c>
      <c r="R54" s="667">
        <f ca="1">SUM(C54:Q54)</f>
        <v>518.2612077504017</v>
      </c>
    </row>
    <row r="55" spans="1:18" ht="15" thickBot="1">
      <c r="A55" s="765" t="s">
        <v>864</v>
      </c>
      <c r="B55" s="775"/>
      <c r="C55" s="930">
        <f ca="1">C25*'EF ele_warmte'!B12</f>
        <v>141.05605580714891</v>
      </c>
      <c r="D55" s="930"/>
      <c r="E55" s="930">
        <f>E25*EF_CO2_aardgas</f>
        <v>273.64150792155147</v>
      </c>
      <c r="F55" s="930"/>
      <c r="G55" s="930"/>
      <c r="H55" s="930"/>
      <c r="I55" s="930"/>
      <c r="J55" s="930"/>
      <c r="K55" s="930"/>
      <c r="L55" s="930"/>
      <c r="M55" s="930"/>
      <c r="N55" s="930"/>
      <c r="O55" s="930"/>
      <c r="P55" s="930"/>
      <c r="Q55" s="931"/>
      <c r="R55" s="667">
        <f ca="1">SUM(C55:Q55)</f>
        <v>414.6975637287004</v>
      </c>
    </row>
    <row r="56" spans="1:18" ht="15.75" thickBot="1">
      <c r="A56" s="763" t="s">
        <v>865</v>
      </c>
      <c r="B56" s="776"/>
      <c r="C56" s="668">
        <f ca="1">SUM(C54:C55)</f>
        <v>216.95280581868124</v>
      </c>
      <c r="D56" s="668">
        <f t="shared" ref="D56:Q56" ca="1" si="7">SUM(D54:D55)</f>
        <v>0</v>
      </c>
      <c r="E56" s="668">
        <f t="shared" si="7"/>
        <v>289.18922208237677</v>
      </c>
      <c r="F56" s="668">
        <f t="shared" si="7"/>
        <v>0.84085189927221615</v>
      </c>
      <c r="G56" s="668">
        <f t="shared" si="7"/>
        <v>411.25026694787391</v>
      </c>
      <c r="H56" s="668">
        <f t="shared" si="7"/>
        <v>0</v>
      </c>
      <c r="I56" s="668">
        <f t="shared" si="7"/>
        <v>0</v>
      </c>
      <c r="J56" s="668">
        <f t="shared" si="7"/>
        <v>0</v>
      </c>
      <c r="K56" s="668">
        <f t="shared" si="7"/>
        <v>14.725624730897936</v>
      </c>
      <c r="L56" s="668">
        <f t="shared" si="7"/>
        <v>0</v>
      </c>
      <c r="M56" s="668">
        <f t="shared" si="7"/>
        <v>0</v>
      </c>
      <c r="N56" s="668">
        <f t="shared" si="7"/>
        <v>0</v>
      </c>
      <c r="O56" s="668">
        <f t="shared" si="7"/>
        <v>0</v>
      </c>
      <c r="P56" s="668">
        <f t="shared" si="7"/>
        <v>0</v>
      </c>
      <c r="Q56" s="669">
        <f t="shared" si="7"/>
        <v>0</v>
      </c>
      <c r="R56" s="670">
        <f ca="1">SUM(R54:R55)</f>
        <v>932.9587714791021</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6564.9105996875678</v>
      </c>
      <c r="D61" s="676">
        <f t="shared" ref="D61:Q61" ca="1" si="8">D46+D52+D56</f>
        <v>0</v>
      </c>
      <c r="E61" s="676">
        <f t="shared" ca="1" si="8"/>
        <v>6153.4402042130187</v>
      </c>
      <c r="F61" s="676">
        <f t="shared" si="8"/>
        <v>382.26917369841925</v>
      </c>
      <c r="G61" s="676">
        <f t="shared" ca="1" si="8"/>
        <v>12100.352611348333</v>
      </c>
      <c r="H61" s="676">
        <f t="shared" si="8"/>
        <v>13226.829430843363</v>
      </c>
      <c r="I61" s="676">
        <f t="shared" si="8"/>
        <v>2602.4836919190725</v>
      </c>
      <c r="J61" s="676">
        <f t="shared" si="8"/>
        <v>0</v>
      </c>
      <c r="K61" s="676">
        <f t="shared" si="8"/>
        <v>346.98764346092298</v>
      </c>
      <c r="L61" s="676">
        <f t="shared" si="8"/>
        <v>0</v>
      </c>
      <c r="M61" s="676">
        <f t="shared" ca="1" si="8"/>
        <v>0</v>
      </c>
      <c r="N61" s="676">
        <f t="shared" si="8"/>
        <v>0</v>
      </c>
      <c r="O61" s="676">
        <f t="shared" ca="1" si="8"/>
        <v>0</v>
      </c>
      <c r="P61" s="676">
        <f t="shared" si="8"/>
        <v>0</v>
      </c>
      <c r="Q61" s="676">
        <f t="shared" si="8"/>
        <v>0</v>
      </c>
      <c r="R61" s="676">
        <f ca="1">R46+R52+R56</f>
        <v>41377.273355170699</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0.18463561436819634</v>
      </c>
      <c r="D63" s="720">
        <f t="shared" ca="1" si="9"/>
        <v>0</v>
      </c>
      <c r="E63" s="932">
        <f t="shared" ca="1" si="9"/>
        <v>0.20200000000000001</v>
      </c>
      <c r="F63" s="720">
        <f t="shared" si="9"/>
        <v>0.22699999999999998</v>
      </c>
      <c r="G63" s="720">
        <f t="shared" ca="1" si="9"/>
        <v>0.26700000000000007</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986.05843511748867</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4864.5</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13898.571428571429</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5850.5584351174884</v>
      </c>
      <c r="C78" s="691">
        <f>SUM(C72:C77)</f>
        <v>0</v>
      </c>
      <c r="D78" s="692">
        <f t="shared" ref="D78:H78" si="10">SUM(D76:D77)</f>
        <v>0</v>
      </c>
      <c r="E78" s="692">
        <f t="shared" si="10"/>
        <v>0</v>
      </c>
      <c r="F78" s="692">
        <f t="shared" si="10"/>
        <v>0</v>
      </c>
      <c r="G78" s="692">
        <f t="shared" si="10"/>
        <v>0</v>
      </c>
      <c r="H78" s="692">
        <f t="shared" si="10"/>
        <v>0</v>
      </c>
      <c r="I78" s="692">
        <f>SUM(I76:I77)</f>
        <v>0</v>
      </c>
      <c r="J78" s="692">
        <f>SUM(J76:J77)</f>
        <v>13898.571428571429</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18938.443763365784</v>
      </c>
      <c r="C4" s="445">
        <f>huishoudens!C8</f>
        <v>0</v>
      </c>
      <c r="D4" s="445">
        <f>huishoudens!D8</f>
        <v>22167.794923423739</v>
      </c>
      <c r="E4" s="445">
        <f>huishoudens!E8</f>
        <v>1215.9272849727176</v>
      </c>
      <c r="F4" s="445">
        <f>huishoudens!F8</f>
        <v>41504.943016533158</v>
      </c>
      <c r="G4" s="445">
        <f>huishoudens!G8</f>
        <v>0</v>
      </c>
      <c r="H4" s="445">
        <f>huishoudens!H8</f>
        <v>0</v>
      </c>
      <c r="I4" s="445">
        <f>huishoudens!I8</f>
        <v>0</v>
      </c>
      <c r="J4" s="445">
        <f>huishoudens!J8</f>
        <v>934.58608978226653</v>
      </c>
      <c r="K4" s="445">
        <f>huishoudens!K8</f>
        <v>0</v>
      </c>
      <c r="L4" s="445">
        <f>huishoudens!L8</f>
        <v>0</v>
      </c>
      <c r="M4" s="445">
        <f>huishoudens!M8</f>
        <v>0</v>
      </c>
      <c r="N4" s="445">
        <f>huishoudens!N8</f>
        <v>4785.4928393197097</v>
      </c>
      <c r="O4" s="445">
        <f>huishoudens!O8</f>
        <v>82.856666666666683</v>
      </c>
      <c r="P4" s="446">
        <f>huishoudens!P8</f>
        <v>305.06666666666666</v>
      </c>
      <c r="Q4" s="447">
        <f>SUM(B4:P4)</f>
        <v>89935.111250730712</v>
      </c>
    </row>
    <row r="5" spans="1:17">
      <c r="A5" s="444" t="s">
        <v>149</v>
      </c>
      <c r="B5" s="445">
        <f ca="1">tertiair!B16</f>
        <v>13686.667041095741</v>
      </c>
      <c r="C5" s="445">
        <f ca="1">tertiair!C16</f>
        <v>0</v>
      </c>
      <c r="D5" s="445">
        <f ca="1">tertiair!D16</f>
        <v>6342.1919572881488</v>
      </c>
      <c r="E5" s="445">
        <f>tertiair!E16</f>
        <v>141.04812788296721</v>
      </c>
      <c r="F5" s="445">
        <f ca="1">tertiair!F16</f>
        <v>1858.429920119554</v>
      </c>
      <c r="G5" s="445">
        <f>tertiair!G16</f>
        <v>0</v>
      </c>
      <c r="H5" s="445">
        <f>tertiair!H16</f>
        <v>0</v>
      </c>
      <c r="I5" s="445">
        <f>tertiair!I16</f>
        <v>0</v>
      </c>
      <c r="J5" s="445">
        <f>tertiair!J16</f>
        <v>0</v>
      </c>
      <c r="K5" s="445">
        <f>tertiair!K16</f>
        <v>0</v>
      </c>
      <c r="L5" s="445">
        <f ca="1">tertiair!L16</f>
        <v>0</v>
      </c>
      <c r="M5" s="445">
        <f>tertiair!M16</f>
        <v>0</v>
      </c>
      <c r="N5" s="445">
        <f ca="1">tertiair!N16</f>
        <v>0</v>
      </c>
      <c r="O5" s="445">
        <f>tertiair!O16</f>
        <v>1.5633333333333335</v>
      </c>
      <c r="P5" s="446">
        <f>tertiair!P16</f>
        <v>0</v>
      </c>
      <c r="Q5" s="444">
        <f t="shared" ref="Q5:Q14" ca="1" si="0">SUM(B5:P5)</f>
        <v>22029.900379719744</v>
      </c>
    </row>
    <row r="6" spans="1:17">
      <c r="A6" s="444" t="s">
        <v>187</v>
      </c>
      <c r="B6" s="445">
        <f>'openbare verlichting'!B8</f>
        <v>711.23299999999995</v>
      </c>
      <c r="C6" s="445"/>
      <c r="D6" s="445"/>
      <c r="E6" s="445"/>
      <c r="F6" s="445"/>
      <c r="G6" s="445"/>
      <c r="H6" s="445"/>
      <c r="I6" s="445"/>
      <c r="J6" s="445"/>
      <c r="K6" s="445"/>
      <c r="L6" s="445"/>
      <c r="M6" s="445"/>
      <c r="N6" s="445"/>
      <c r="O6" s="445"/>
      <c r="P6" s="446"/>
      <c r="Q6" s="444">
        <f t="shared" si="0"/>
        <v>711.23299999999995</v>
      </c>
    </row>
    <row r="7" spans="1:17">
      <c r="A7" s="444" t="s">
        <v>105</v>
      </c>
      <c r="B7" s="445">
        <f>landbouw!B8</f>
        <v>411.0623525761431</v>
      </c>
      <c r="C7" s="445">
        <f>landbouw!C8</f>
        <v>0</v>
      </c>
      <c r="D7" s="445">
        <f>landbouw!D8</f>
        <v>76.968881984283783</v>
      </c>
      <c r="E7" s="445">
        <f>landbouw!E8</f>
        <v>3.7041933888643883</v>
      </c>
      <c r="F7" s="445">
        <f>landbouw!F8</f>
        <v>1540.2631720894153</v>
      </c>
      <c r="G7" s="445">
        <f>landbouw!G8</f>
        <v>0</v>
      </c>
      <c r="H7" s="445">
        <f>landbouw!H8</f>
        <v>0</v>
      </c>
      <c r="I7" s="445">
        <f>landbouw!I8</f>
        <v>0</v>
      </c>
      <c r="J7" s="445">
        <f>landbouw!J8</f>
        <v>41.597809974287955</v>
      </c>
      <c r="K7" s="445">
        <f>landbouw!K8</f>
        <v>0</v>
      </c>
      <c r="L7" s="445">
        <f>landbouw!L8</f>
        <v>0</v>
      </c>
      <c r="M7" s="445">
        <f>landbouw!M8</f>
        <v>0</v>
      </c>
      <c r="N7" s="445">
        <f>landbouw!N8</f>
        <v>0</v>
      </c>
      <c r="O7" s="445">
        <f>landbouw!O8</f>
        <v>0</v>
      </c>
      <c r="P7" s="446">
        <f>landbouw!P8</f>
        <v>0</v>
      </c>
      <c r="Q7" s="444">
        <f t="shared" si="0"/>
        <v>2073.5964100129945</v>
      </c>
    </row>
    <row r="8" spans="1:17">
      <c r="A8" s="444" t="s">
        <v>613</v>
      </c>
      <c r="B8" s="445">
        <f>industrie!B18</f>
        <v>1031.8790001817381</v>
      </c>
      <c r="C8" s="445">
        <f>industrie!C18</f>
        <v>0</v>
      </c>
      <c r="D8" s="445">
        <f>industrie!D18</f>
        <v>517.85031352262047</v>
      </c>
      <c r="E8" s="445">
        <f>industrie!E18</f>
        <v>12.223859952285398</v>
      </c>
      <c r="F8" s="445">
        <f>industrie!F18</f>
        <v>416.03659293701577</v>
      </c>
      <c r="G8" s="445">
        <f>industrie!G18</f>
        <v>0</v>
      </c>
      <c r="H8" s="445">
        <f>industrie!H18</f>
        <v>0</v>
      </c>
      <c r="I8" s="445">
        <f>industrie!I18</f>
        <v>0</v>
      </c>
      <c r="J8" s="445">
        <f>industrie!J18</f>
        <v>4.0071834663918171</v>
      </c>
      <c r="K8" s="445">
        <f>industrie!K18</f>
        <v>0</v>
      </c>
      <c r="L8" s="445">
        <f>industrie!L18</f>
        <v>0</v>
      </c>
      <c r="M8" s="445">
        <f>industrie!M18</f>
        <v>0</v>
      </c>
      <c r="N8" s="445">
        <f>industrie!N18</f>
        <v>38.864572343445566</v>
      </c>
      <c r="O8" s="445">
        <f>industrie!O18</f>
        <v>0</v>
      </c>
      <c r="P8" s="446">
        <f>industrie!P18</f>
        <v>0</v>
      </c>
      <c r="Q8" s="444">
        <f t="shared" si="0"/>
        <v>2020.861522403497</v>
      </c>
    </row>
    <row r="9" spans="1:17" s="450" customFormat="1">
      <c r="A9" s="448" t="s">
        <v>555</v>
      </c>
      <c r="B9" s="449">
        <f>transport!B14</f>
        <v>0.74816493976424947</v>
      </c>
      <c r="C9" s="449">
        <f>transport!C14</f>
        <v>0</v>
      </c>
      <c r="D9" s="449">
        <f>transport!D14</f>
        <v>3.108261857778305</v>
      </c>
      <c r="E9" s="449">
        <f>transport!E14</f>
        <v>311.10170428078328</v>
      </c>
      <c r="F9" s="449">
        <f>transport!F14</f>
        <v>0</v>
      </c>
      <c r="G9" s="449">
        <f>transport!G14</f>
        <v>46928.244530951364</v>
      </c>
      <c r="H9" s="449">
        <f>transport!H14</f>
        <v>10451.741734614749</v>
      </c>
      <c r="I9" s="449">
        <f>transport!I14</f>
        <v>0</v>
      </c>
      <c r="J9" s="449">
        <f>transport!J14</f>
        <v>0</v>
      </c>
      <c r="K9" s="449">
        <f>transport!K14</f>
        <v>0</v>
      </c>
      <c r="L9" s="449">
        <f>transport!L14</f>
        <v>0</v>
      </c>
      <c r="M9" s="449">
        <f>transport!M14</f>
        <v>2502.6723169074771</v>
      </c>
      <c r="N9" s="449">
        <f>transport!N14</f>
        <v>0</v>
      </c>
      <c r="O9" s="449">
        <f>transport!O14</f>
        <v>0</v>
      </c>
      <c r="P9" s="449">
        <f>transport!P14</f>
        <v>0</v>
      </c>
      <c r="Q9" s="448">
        <f>SUM(B9:P9)</f>
        <v>60197.616713551914</v>
      </c>
    </row>
    <row r="10" spans="1:17">
      <c r="A10" s="444" t="s">
        <v>545</v>
      </c>
      <c r="B10" s="445">
        <f>transport!B54</f>
        <v>12.033018141278301</v>
      </c>
      <c r="C10" s="445">
        <f>transport!C54</f>
        <v>0</v>
      </c>
      <c r="D10" s="445">
        <f>transport!D54</f>
        <v>0</v>
      </c>
      <c r="E10" s="445">
        <f>transport!E54</f>
        <v>0</v>
      </c>
      <c r="F10" s="445">
        <f>transport!F54</f>
        <v>0</v>
      </c>
      <c r="G10" s="445">
        <f>transport!G54</f>
        <v>2610.4424759526137</v>
      </c>
      <c r="H10" s="445">
        <f>transport!H54</f>
        <v>0</v>
      </c>
      <c r="I10" s="445">
        <f>transport!I54</f>
        <v>0</v>
      </c>
      <c r="J10" s="445">
        <f>transport!J54</f>
        <v>0</v>
      </c>
      <c r="K10" s="445">
        <f>transport!K54</f>
        <v>0</v>
      </c>
      <c r="L10" s="445">
        <f>transport!L54</f>
        <v>0</v>
      </c>
      <c r="M10" s="445">
        <f>transport!M54</f>
        <v>111.76911946066824</v>
      </c>
      <c r="N10" s="445">
        <f>transport!N54</f>
        <v>0</v>
      </c>
      <c r="O10" s="445">
        <f>transport!O54</f>
        <v>0</v>
      </c>
      <c r="P10" s="446">
        <f>transport!P54</f>
        <v>0</v>
      </c>
      <c r="Q10" s="444">
        <f t="shared" si="0"/>
        <v>2734.2446135545601</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763.96992145761192</v>
      </c>
      <c r="C14" s="452"/>
      <c r="D14" s="452">
        <f>'SEAP template'!E25</f>
        <v>1354.6609303047101</v>
      </c>
      <c r="E14" s="452"/>
      <c r="F14" s="452"/>
      <c r="G14" s="452"/>
      <c r="H14" s="452"/>
      <c r="I14" s="452"/>
      <c r="J14" s="452"/>
      <c r="K14" s="452"/>
      <c r="L14" s="452"/>
      <c r="M14" s="452"/>
      <c r="N14" s="452"/>
      <c r="O14" s="452"/>
      <c r="P14" s="453"/>
      <c r="Q14" s="444">
        <f t="shared" si="0"/>
        <v>2118.630851762322</v>
      </c>
    </row>
    <row r="15" spans="1:17" s="457" customFormat="1">
      <c r="A15" s="454" t="s">
        <v>549</v>
      </c>
      <c r="B15" s="455">
        <f ca="1">SUM(B4:B14)</f>
        <v>35556.036261758061</v>
      </c>
      <c r="C15" s="455">
        <f t="shared" ref="C15:Q15" ca="1" si="1">SUM(C4:C14)</f>
        <v>0</v>
      </c>
      <c r="D15" s="455">
        <f t="shared" ca="1" si="1"/>
        <v>30462.575268381283</v>
      </c>
      <c r="E15" s="455">
        <f t="shared" si="1"/>
        <v>1684.0051704776181</v>
      </c>
      <c r="F15" s="455">
        <f t="shared" ca="1" si="1"/>
        <v>45319.672701679141</v>
      </c>
      <c r="G15" s="455">
        <f t="shared" si="1"/>
        <v>49538.68700690398</v>
      </c>
      <c r="H15" s="455">
        <f t="shared" si="1"/>
        <v>10451.741734614749</v>
      </c>
      <c r="I15" s="455">
        <f t="shared" si="1"/>
        <v>0</v>
      </c>
      <c r="J15" s="455">
        <f t="shared" si="1"/>
        <v>980.1910832229463</v>
      </c>
      <c r="K15" s="455">
        <f t="shared" si="1"/>
        <v>0</v>
      </c>
      <c r="L15" s="455">
        <f t="shared" ca="1" si="1"/>
        <v>0</v>
      </c>
      <c r="M15" s="455">
        <f t="shared" si="1"/>
        <v>2614.4414363681453</v>
      </c>
      <c r="N15" s="455">
        <f t="shared" ca="1" si="1"/>
        <v>4824.3574116631553</v>
      </c>
      <c r="O15" s="455">
        <f t="shared" si="1"/>
        <v>84.420000000000016</v>
      </c>
      <c r="P15" s="455">
        <f t="shared" si="1"/>
        <v>305.06666666666666</v>
      </c>
      <c r="Q15" s="455">
        <f t="shared" ca="1" si="1"/>
        <v>181821.19474173573</v>
      </c>
    </row>
    <row r="17" spans="1:17">
      <c r="A17" s="458" t="s">
        <v>550</v>
      </c>
      <c r="B17" s="725">
        <f ca="1">huishoudens!B10</f>
        <v>0.18463561436819637</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3496.7111994265783</v>
      </c>
      <c r="C22" s="445">
        <f t="shared" ref="C22:C32" ca="1" si="3">C4*$C$17</f>
        <v>0</v>
      </c>
      <c r="D22" s="445">
        <f t="shared" ref="D22:D32" si="4">D4*$D$17</f>
        <v>4477.894574531595</v>
      </c>
      <c r="E22" s="445">
        <f t="shared" ref="E22:E32" si="5">E4*$E$17</f>
        <v>276.01549368880694</v>
      </c>
      <c r="F22" s="445">
        <f t="shared" ref="F22:F32" si="6">F4*$F$17</f>
        <v>11081.819785414355</v>
      </c>
      <c r="G22" s="445">
        <f t="shared" ref="G22:G32" si="7">G4*$G$17</f>
        <v>0</v>
      </c>
      <c r="H22" s="445">
        <f t="shared" ref="H22:H32" si="8">H4*$H$17</f>
        <v>0</v>
      </c>
      <c r="I22" s="445">
        <f t="shared" ref="I22:I32" si="9">I4*$I$17</f>
        <v>0</v>
      </c>
      <c r="J22" s="445">
        <f t="shared" ref="J22:J32" si="10">J4*$J$17</f>
        <v>330.84347578292233</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19663.284528844259</v>
      </c>
    </row>
    <row r="23" spans="1:17">
      <c r="A23" s="444" t="s">
        <v>149</v>
      </c>
      <c r="B23" s="445">
        <f t="shared" ca="1" si="2"/>
        <v>2527.0461777856567</v>
      </c>
      <c r="C23" s="445">
        <f t="shared" ca="1" si="3"/>
        <v>0</v>
      </c>
      <c r="D23" s="445">
        <f t="shared" ca="1" si="4"/>
        <v>1281.1227753722062</v>
      </c>
      <c r="E23" s="445">
        <f t="shared" si="5"/>
        <v>32.017925029433556</v>
      </c>
      <c r="F23" s="445">
        <f t="shared" ca="1" si="6"/>
        <v>496.20078867192098</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4336.3876668592175</v>
      </c>
    </row>
    <row r="24" spans="1:17">
      <c r="A24" s="444" t="s">
        <v>187</v>
      </c>
      <c r="B24" s="445">
        <f t="shared" ca="1" si="2"/>
        <v>131.31894191393539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131.31894191393539</v>
      </c>
    </row>
    <row r="25" spans="1:17">
      <c r="A25" s="444" t="s">
        <v>105</v>
      </c>
      <c r="B25" s="445">
        <f t="shared" ca="1" si="2"/>
        <v>75.896750011532333</v>
      </c>
      <c r="C25" s="445">
        <f t="shared" ca="1" si="3"/>
        <v>0</v>
      </c>
      <c r="D25" s="445">
        <f t="shared" si="4"/>
        <v>15.547714160825326</v>
      </c>
      <c r="E25" s="445">
        <f t="shared" si="5"/>
        <v>0.84085189927221615</v>
      </c>
      <c r="F25" s="445">
        <f t="shared" si="6"/>
        <v>411.25026694787391</v>
      </c>
      <c r="G25" s="445">
        <f t="shared" si="7"/>
        <v>0</v>
      </c>
      <c r="H25" s="445">
        <f t="shared" si="8"/>
        <v>0</v>
      </c>
      <c r="I25" s="445">
        <f t="shared" si="9"/>
        <v>0</v>
      </c>
      <c r="J25" s="445">
        <f t="shared" si="10"/>
        <v>14.725624730897936</v>
      </c>
      <c r="K25" s="445">
        <f t="shared" si="11"/>
        <v>0</v>
      </c>
      <c r="L25" s="445">
        <f t="shared" si="12"/>
        <v>0</v>
      </c>
      <c r="M25" s="445">
        <f t="shared" si="13"/>
        <v>0</v>
      </c>
      <c r="N25" s="445">
        <f t="shared" si="14"/>
        <v>0</v>
      </c>
      <c r="O25" s="445">
        <f t="shared" si="15"/>
        <v>0</v>
      </c>
      <c r="P25" s="446">
        <f t="shared" si="16"/>
        <v>0</v>
      </c>
      <c r="Q25" s="444">
        <f t="shared" ca="1" si="17"/>
        <v>518.2612077504017</v>
      </c>
    </row>
    <row r="26" spans="1:17">
      <c r="A26" s="444" t="s">
        <v>613</v>
      </c>
      <c r="B26" s="445">
        <f t="shared" ca="1" si="2"/>
        <v>190.52161315219541</v>
      </c>
      <c r="C26" s="445">
        <f t="shared" ca="1" si="3"/>
        <v>0</v>
      </c>
      <c r="D26" s="445">
        <f t="shared" si="4"/>
        <v>104.60576333156934</v>
      </c>
      <c r="E26" s="445">
        <f t="shared" si="5"/>
        <v>2.7748162091687854</v>
      </c>
      <c r="F26" s="445">
        <f t="shared" si="6"/>
        <v>111.08177031418322</v>
      </c>
      <c r="G26" s="445">
        <f t="shared" si="7"/>
        <v>0</v>
      </c>
      <c r="H26" s="445">
        <f t="shared" si="8"/>
        <v>0</v>
      </c>
      <c r="I26" s="445">
        <f t="shared" si="9"/>
        <v>0</v>
      </c>
      <c r="J26" s="445">
        <f t="shared" si="10"/>
        <v>1.4185429471027031</v>
      </c>
      <c r="K26" s="445">
        <f t="shared" si="11"/>
        <v>0</v>
      </c>
      <c r="L26" s="445">
        <f t="shared" si="12"/>
        <v>0</v>
      </c>
      <c r="M26" s="445">
        <f t="shared" si="13"/>
        <v>0</v>
      </c>
      <c r="N26" s="445">
        <f t="shared" si="14"/>
        <v>0</v>
      </c>
      <c r="O26" s="445">
        <f t="shared" si="15"/>
        <v>0</v>
      </c>
      <c r="P26" s="446">
        <f t="shared" si="16"/>
        <v>0</v>
      </c>
      <c r="Q26" s="444">
        <f t="shared" ca="1" si="17"/>
        <v>410.40250595421941</v>
      </c>
    </row>
    <row r="27" spans="1:17" s="450" customFormat="1">
      <c r="A27" s="448" t="s">
        <v>555</v>
      </c>
      <c r="B27" s="719">
        <f t="shared" ca="1" si="2"/>
        <v>0.13813789330211682</v>
      </c>
      <c r="C27" s="449">
        <f t="shared" ca="1" si="3"/>
        <v>0</v>
      </c>
      <c r="D27" s="449">
        <f t="shared" si="4"/>
        <v>0.6278688952712177</v>
      </c>
      <c r="E27" s="449">
        <f t="shared" si="5"/>
        <v>70.620086871737811</v>
      </c>
      <c r="F27" s="449">
        <f t="shared" si="6"/>
        <v>0</v>
      </c>
      <c r="G27" s="449">
        <f t="shared" si="7"/>
        <v>12529.841289764016</v>
      </c>
      <c r="H27" s="449">
        <f t="shared" si="8"/>
        <v>2602.4836919190725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15203.711075343399</v>
      </c>
    </row>
    <row r="28" spans="1:17">
      <c r="A28" s="444" t="s">
        <v>545</v>
      </c>
      <c r="B28" s="445">
        <f t="shared" ca="1" si="2"/>
        <v>2.2217236972185717</v>
      </c>
      <c r="C28" s="445">
        <f t="shared" ca="1" si="3"/>
        <v>0</v>
      </c>
      <c r="D28" s="445">
        <f t="shared" si="4"/>
        <v>0</v>
      </c>
      <c r="E28" s="445">
        <f t="shared" si="5"/>
        <v>0</v>
      </c>
      <c r="F28" s="445">
        <f t="shared" si="6"/>
        <v>0</v>
      </c>
      <c r="G28" s="445">
        <f t="shared" si="7"/>
        <v>696.98814107934788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699.20986477656641</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141.05605580714891</v>
      </c>
      <c r="C32" s="445">
        <f t="shared" ca="1" si="3"/>
        <v>0</v>
      </c>
      <c r="D32" s="445">
        <f t="shared" si="4"/>
        <v>273.64150792155147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414.6975637287004</v>
      </c>
    </row>
    <row r="33" spans="1:17" s="457" customFormat="1">
      <c r="A33" s="454" t="s">
        <v>549</v>
      </c>
      <c r="B33" s="455">
        <f ca="1">SUM(B22:B32)</f>
        <v>6564.9105996875678</v>
      </c>
      <c r="C33" s="455">
        <f t="shared" ref="C33:Q33" ca="1" si="19">SUM(C22:C32)</f>
        <v>0</v>
      </c>
      <c r="D33" s="455">
        <f t="shared" ca="1" si="19"/>
        <v>6153.4402042130187</v>
      </c>
      <c r="E33" s="455">
        <f t="shared" si="19"/>
        <v>382.26917369841931</v>
      </c>
      <c r="F33" s="455">
        <f t="shared" ca="1" si="19"/>
        <v>12100.352611348333</v>
      </c>
      <c r="G33" s="455">
        <f t="shared" si="19"/>
        <v>13226.829430843363</v>
      </c>
      <c r="H33" s="455">
        <f t="shared" si="19"/>
        <v>2602.4836919190725</v>
      </c>
      <c r="I33" s="455">
        <f t="shared" si="19"/>
        <v>0</v>
      </c>
      <c r="J33" s="455">
        <f t="shared" si="19"/>
        <v>346.98764346092298</v>
      </c>
      <c r="K33" s="455">
        <f t="shared" si="19"/>
        <v>0</v>
      </c>
      <c r="L33" s="455">
        <f t="shared" ca="1" si="19"/>
        <v>0</v>
      </c>
      <c r="M33" s="455">
        <f t="shared" si="19"/>
        <v>0</v>
      </c>
      <c r="N33" s="455">
        <f t="shared" ca="1" si="19"/>
        <v>0</v>
      </c>
      <c r="O33" s="455">
        <f t="shared" si="19"/>
        <v>0</v>
      </c>
      <c r="P33" s="455">
        <f t="shared" si="19"/>
        <v>0</v>
      </c>
      <c r="Q33" s="455">
        <f t="shared" ca="1" si="19"/>
        <v>41377.273355170699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986.05843511748867</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4864.5</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13898.571428571429</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5850.5584351174884</v>
      </c>
      <c r="C10" s="967">
        <f>SUM(C4:C9)</f>
        <v>0</v>
      </c>
      <c r="D10" s="967">
        <f t="shared" ref="D10:H10" si="0">SUM(D8:D9)</f>
        <v>0</v>
      </c>
      <c r="E10" s="967">
        <f t="shared" si="0"/>
        <v>0</v>
      </c>
      <c r="F10" s="967">
        <f t="shared" si="0"/>
        <v>0</v>
      </c>
      <c r="G10" s="967">
        <f t="shared" si="0"/>
        <v>0</v>
      </c>
      <c r="H10" s="967">
        <f t="shared" si="0"/>
        <v>0</v>
      </c>
      <c r="I10" s="967">
        <f>SUM(I8:I9)</f>
        <v>0</v>
      </c>
      <c r="J10" s="967">
        <f>SUM(J8:J9)</f>
        <v>13898.571428571429</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0.18463561436819637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0.18463561436819637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2022-07-26T12:52:21Z</dcterms:modified>
</cp:coreProperties>
</file>