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F0308576-E369-4587-8C25-C9C6D93755E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<sst xmlns="http://schemas.openxmlformats.org/spreadsheetml/2006/main" count="2513" uniqueCount="962">
  <si>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</si>
  <si>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</si>
  <si>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</si>
  <si>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</si>
  <si>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</si>
  <si>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</si>
  <si>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</si>
  <si>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</si>
  <si>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</si>
  <si>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</si>
  <si>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</si>
  <si>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</si>
  <si>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</si>
  <si>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</si>
  <si>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</si>
  <si>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</si>
  <si>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</si>
  <si>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</si>
  <si>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</si>
  <si>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</si>
  <si>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</si>
  <si>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</si>
  <si>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</si>
  <si>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</si>
  <si>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</si>
  <si>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</si>
  <si>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</si>
  <si>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</si>
  <si>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</si>
  <si>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</si>
  <si>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</si>
  <si>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</si>
  <si>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</si>
  <si>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</si>
  <si>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</si>
  <si>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</si>
  <si>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</si>
  <si>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</si>
  <si>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</si>
  <si>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</si>
  <si>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</si>
  <si>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</si>
  <si>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</si>
  <si>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</si>
  <si>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</si>
  <si>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</si>
  <si>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</si>
  <si>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</si>
  <si>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</si>
  <si>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</si>
  <si>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</si>
  <si>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</si>
  <si>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</si>
  <si>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</si>
  <si>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</si>
  <si>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</si>
  <si>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</si>
  <si>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</si>
  <si>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</si>
  <si>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</si>
  <si>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</si>
  <si>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</si>
  <si>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</si>
  <si>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</si>
  <si>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</si>
  <si>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</si>
  <si>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</si>
  <si>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</si>
  <si>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</si>
  <si>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</si>
  <si>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</si>
  <si>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</si>
  <si>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</si>
  <si>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</si>
  <si>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</si>
  <si>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</si>
  <si>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</si>
  <si>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</si>
  <si>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</si>
  <si>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</si>
  <si>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</si>
  <si>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</si>
  <si>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</si>
  <si>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</si>
  <si>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</si>
  <si>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</si>
  <si>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</si>
  <si>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</si>
  <si>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</si>
  <si>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</si>
  <si>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</si>
  <si>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</si>
  <si>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</si>
  <si>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</si>
  <si>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</si>
  <si>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</si>
  <si>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</si>
  <si>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</si>
  <si>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</si>
  <si>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</si>
  <si>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</si>
  <si>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</si>
  <si>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</si>
  <si>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</si>
  <si>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</si>
  <si>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</si>
  <si>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</si>
  <si>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</si>
  <si>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</si>
  <si>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</si>
  <si>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</si>
  <si>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</si>
  <si>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</si>
  <si>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</si>
  <si>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</si>
  <si>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</si>
  <si>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</si>
  <si>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</si>
  <si>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</si>
  <si>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</si>
  <si>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</si>
  <si>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</si>
  <si>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</si>
  <si>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</si>
  <si>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</si>
  <si>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</si>
  <si>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</si>
  <si>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</si>
  <si>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</si>
  <si>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</si>
  <si>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</si>
  <si>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</si>
  <si>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</si>
  <si>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</si>
  <si>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</si>
  <si>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</si>
  <si>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</si>
  <si>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</si>
  <si>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</si>
  <si>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</si>
  <si>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</si>
  <si>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</si>
  <si>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</si>
  <si>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</si>
  <si>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</si>
  <si>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</si>
  <si>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</si>
  <si>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</si>
  <si>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</si>
  <si>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</si>
  <si>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</si>
  <si>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</si>
  <si>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</si>
  <si>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</si>
  <si>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</si>
  <si>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</si>
  <si>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</si>
  <si>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</si>
  <si>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</si>
  <si>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</si>
  <si>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</si>
  <si>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</si>
  <si>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</si>
  <si>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</si>
  <si>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</si>
  <si>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</si>
  <si>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</si>
  <si>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</si>
  <si>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</si>
  <si>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</si>
  <si>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</si>
  <si>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</si>
  <si>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</si>
  <si>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</si>
  <si>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</si>
  <si>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</si>
  <si>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</si>
  <si>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</si>
  <si>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</si>
  <si>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</si>
  <si>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</si>
  <si>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</si>
  <si>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</si>
  <si>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</si>
  <si>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</si>
  <si>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</si>
  <si>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</si>
  <si>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</si>
  <si>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</si>
  <si>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</si>
  <si>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</si>
  <si>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</si>
  <si>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</si>
  <si>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</si>
  <si>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</si>
  <si>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</si>
  <si>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</si>
  <si>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</si>
  <si>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</si>
  <si>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</si>
  <si>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</si>
  <si>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</si>
  <si>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</si>
  <si>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</si>
  <si>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</si>
  <si>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</si>
  <si>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</si>
  <si>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</si>
  <si>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</si>
  <si>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</si>
  <si>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</si>
  <si>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</si>
  <si>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</si>
  <si>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</si>
  <si>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</si>
  <si>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</si>
  <si>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</si>
  <si>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</si>
  <si>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</si>
  <si>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</si>
  <si>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</si>
  <si>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</si>
  <si>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</si>
  <si>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</si>
  <si>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</si>
  <si>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</si>
  <si>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</si>
  <si>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</si>
  <si>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</si>
  <si>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</si>
  <si>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</si>
  <si>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</si>
  <si>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</si>
  <si>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</si>
  <si>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</si>
  <si>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</si>
  <si>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</si>
  <si>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</si>
  <si>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</si>
  <si>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</si>
  <si>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</si>
  <si>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</si>
  <si>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</si>
  <si>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</si>
  <si>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</si>
  <si>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</si>
  <si>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</si>
  <si>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</si>
  <si>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</si>
  <si>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</si>
  <si>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</si>
  <si>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</si>
  <si>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</si>
  <si>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</si>
  <si>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</si>
  <si>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</si>
  <si>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</si>
  <si>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</si>
  <si>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</si>
  <si>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</si>
  <si>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</si>
  <si>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</si>
  <si>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</si>
  <si>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</si>
  <si>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</si>
  <si>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</si>
  <si>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</si>
  <si>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</si>
  <si>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</si>
  <si>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</si>
  <si>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</si>
  <si>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</si>
  <si>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</si>
  <si>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</si>
  <si>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</si>
  <si>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</si>
  <si>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</si>
  <si>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</si>
  <si>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</si>
  <si>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</si>
  <si>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</si>
  <si>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</si>
  <si>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</si>
  <si>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</si>
  <si>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</si>
  <si>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</si>
  <si>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</si>
  <si>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</si>
  <si>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</si>
  <si>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</si>
  <si>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</si>
  <si>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</si>
  <si>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</si>
  <si>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</si>
  <si>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</si>
  <si>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</si>
  <si>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</si>
  <si>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</si>
  <si>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</si>
  <si>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</si>
  <si>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</si>
  <si>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</si>
  <si>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</si>
  <si>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</si>
  <si>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</si>
  <si>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</si>
  <si>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</si>
  <si>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</si>
  <si>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</si>
  <si>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</si>
  <si>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</si>
  <si>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</si>
  <si>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</si>
  <si>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</si>
  <si>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</si>
  <si>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</si>
  <si>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</si>
  <si>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</si>
  <si>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</si>
  <si>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</si>
  <si>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</si>
  <si>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</si>
  <si>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</si>
  <si>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</si>
  <si>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</si>
  <si>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</si>
  <si>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</si>
  <si>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</si>
  <si>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</si>
  <si>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</si>
  <si>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</si>
  <si>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</si>
  <si>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</si>
  <si>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</si>
  <si>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</si>
  <si>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</si>
  <si>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</si>
  <si>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</si>
  <si>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</si>
  <si>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</si>
  <si>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</si>
  <si>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</si>
  <si>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</si>
  <si>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</si>
  <si>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</si>
  <si>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</si>
  <si>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</si>
  <si>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</si>
  <si>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</si>
  <si>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</si>
  <si>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</si>
  <si>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</si>
  <si>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</si>
  <si>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</si>
  <si>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</si>
  <si>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</si>
  <si>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</si>
  <si>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</si>
  <si>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</si>
  <si>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</si>
  <si>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</si>
  <si>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</si>
  <si>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</si>
  <si>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</si>
  <si>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</si>
  <si>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</si>
  <si>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</si>
  <si>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</si>
  <si>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</si>
  <si>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</si>
  <si>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</si>
  <si>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</si>
  <si>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</si>
  <si>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</si>
  <si>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</si>
  <si>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</si>
  <si>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</si>
  <si>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</si>
  <si>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</si>
  <si>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</si>
  <si>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</si>
  <si>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</si>
  <si>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</si>
  <si>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</si>
  <si>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</si>
  <si>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</si>
  <si>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</si>
  <si>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</si>
  <si>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</si>
  <si>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</si>
  <si>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</si>
  <si>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</si>
  <si>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</si>
  <si>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</si>
  <si>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</si>
  <si>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</si>
  <si>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</si>
  <si>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</si>
  <si>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</si>
  <si>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</si>
  <si>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</si>
  <si>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</si>
  <si>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</si>
  <si>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</si>
  <si>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</si>
  <si>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</si>
  <si>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</si>
  <si>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</si>
  <si>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</si>
  <si>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</si>
  <si>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</si>
  <si>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</si>
  <si>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</si>
  <si>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</si>
  <si>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</si>
  <si>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</si>
  <si>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</si>
  <si>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</si>
  <si>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</si>
  <si>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</si>
  <si>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</si>
  <si>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</si>
  <si>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</si>
  <si>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</si>
  <si>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</si>
  <si>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</si>
  <si>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</si>
  <si>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</si>
  <si>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</si>
  <si>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</si>
  <si>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</si>
  <si>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</si>
  <si>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</si>
  <si>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</si>
  <si>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</si>
  <si>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</si>
  <si>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</si>
  <si>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</si>
  <si>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</si>
  <si>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</si>
  <si>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</si>
  <si>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</si>
  <si>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</si>
  <si>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</si>
  <si>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</si>
  <si>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</si>
  <si>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</si>
  <si>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</si>
  <si>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</si>
  <si>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</si>
  <si>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</si>
  <si>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</si>
  <si>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</si>
  <si>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</si>
  <si>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</si>
  <si>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</si>
  <si>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</si>
  <si>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</si>
  <si>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</si>
  <si>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</si>
  <si>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</si>
  <si>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</si>
  <si>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</si>
  <si>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</si>
  <si>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</si>
  <si>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</si>
  <si>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</si>
  <si>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</si>
  <si>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</si>
  <si>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</si>
  <si>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</si>
  <si>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</si>
  <si>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</si>
  <si>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</si>
  <si>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</si>
  <si>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</si>
  <si>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</si>
  <si>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</si>
  <si>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</si>
  <si>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</si>
  <si>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</si>
  <si>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</si>
  <si>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</si>
  <si>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</si>
  <si>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</si>
  <si>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</si>
  <si>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</si>
  <si>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</si>
  <si>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</si>
  <si>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</si>
  <si>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</si>
  <si>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</si>
  <si>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</si>
  <si>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</si>
  <si>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</si>
  <si>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</si>
  <si>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</si>
  <si>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</si>
  <si>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</si>
  <si>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</si>
  <si>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</si>
  <si>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</si>
  <si>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</si>
  <si>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</si>
  <si>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</si>
  <si>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</si>
  <si>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</si>
  <si>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</si>
  <si>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</si>
  <si>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</si>
  <si>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</si>
  <si>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</si>
  <si>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</si>
  <si>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</si>
  <si>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</si>
  <si>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</si>
  <si>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</si>
  <si>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</si>
  <si>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</si>
  <si>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</si>
  <si>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</si>
  <si>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</si>
  <si>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</si>
  <si>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</si>
  <si>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</si>
  <si>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</si>
  <si>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</si>
  <si>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</si>
  <si>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</si>
  <si>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</si>
  <si>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</si>
  <si>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</si>
  <si>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</si>
  <si>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</si>
  <si>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</si>
  <si>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</si>
  <si>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</si>
  <si>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</si>
  <si>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</si>
  <si>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</si>
  <si>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</si>
  <si>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</si>
  <si>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</si>
  <si>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</si>
  <si>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</si>
  <si>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</si>
  <si>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</si>
  <si>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</si>
  <si>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</si>
  <si>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</si>
  <si>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</si>
  <si>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</si>
  <si>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</si>
  <si>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</si>
  <si>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</si>
  <si>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</si>
  <si>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</si>
  <si>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</si>
  <si>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</si>
  <si>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</si>
  <si>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</si>
  <si>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</si>
  <si>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</si>
  <si>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</si>
  <si>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</si>
  <si>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</si>
  <si>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</si>
  <si>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</si>
  <si>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</si>
  <si>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</si>
  <si>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</si>
  <si>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</si>
  <si>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</si>
  <si>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</si>
  <si>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</si>
  <si>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</si>
  <si>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</si>
  <si>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</si>
  <si>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</si>
  <si>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</si>
  <si>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</si>
  <si>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</si>
  <si>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</si>
  <si>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</si>
  <si>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</si>
  <si>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</si>
  <si>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</si>
  <si>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</si>
  <si>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</si>
  <si>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</si>
  <si>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</si>
  <si>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</si>
  <si>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</si>
  <si>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</si>
  <si>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</si>
  <si>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</si>
  <si>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</si>
  <si>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</si>
  <si>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</si>
  <si>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</si>
  <si>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</si>
  <si>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</si>
  <si>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</si>
  <si>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</si>
  <si>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</si>
  <si>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</si>
  <si>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</si>
  <si>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</si>
  <si>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</si>
  <si>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</si>
  <si>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</si>
  <si>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</si>
  <si>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</si>
  <si>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</si>
  <si>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</si>
  <si>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</si>
  <si>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</si>
  <si>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</si>
  <si>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</si>
  <si>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</si>
  <si>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</si>
  <si>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</si>
  <si>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</si>
  <si>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</si>
  <si>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</si>
  <si>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</si>
  <si>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</si>
  <si>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</si>
  <si>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</si>
  <si>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</si>
  <si>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</si>
  <si>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</si>
  <si>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</si>
  <si>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</si>
  <si>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</si>
  <si>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</si>
  <si>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</si>
  <si>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</si>
  <si>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</si>
  <si>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</si>
  <si>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</si>
  <si>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</si>
  <si>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</si>
  <si>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</si>
  <si>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</si>
  <si>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</si>
  <si>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</si>
  <si>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</si>
  <si>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</si>
  <si>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</si>
  <si>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</si>
  <si>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</si>
  <si>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</si>
  <si>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</si>
  <si>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</si>
  <si>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</si>
  <si>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</si>
  <si>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</si>
  <si>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</si>
  <si>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</si>
  <si>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</si>
  <si>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</si>
  <si>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</si>
  <si>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</si>
  <si>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</si>
  <si>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</si>
  <si>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</si>
  <si>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</si>
  <si>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</si>
  <si>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</si>
  <si>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</si>
  <si>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</si>
  <si>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</si>
  <si>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</si>
  <si>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</si>
  <si>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</si>
  <si>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</si>
  <si>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</si>
  <si>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</si>
  <si>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</si>
  <si>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</si>
  <si>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</si>
  <si>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</si>
  <si>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</si>
  <si>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</si>
  <si>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</si>
  <si>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</si>
  <si>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</si>
  <si>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</si>
  <si>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</si>
  <si>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</si>
  <si>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</si>
  <si>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</si>
  <si>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</si>
  <si>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</si>
  <si>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</si>
  <si>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</si>
  <si>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</si>
  <si>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</si>
  <si>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</si>
  <si>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</si>
  <si>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</si>
  <si>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</si>
  <si>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</si>
  <si>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</si>
  <si>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</si>
  <si>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</si>
  <si>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</si>
  <si>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</si>
  <si>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</si>
  <si>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</si>
  <si>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</si>
  <si>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</si>
  <si>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</si>
  <si>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</si>
  <si>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</si>
  <si>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</si>
  <si>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</si>
  <si>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</si>
  <si>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</si>
  <si>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</si>
  <si>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</si>
  <si>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</si>
  <si>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</si>
  <si>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</si>
  <si>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</si>
  <si>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</si>
  <si>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</si>
  <si>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</si>
  <si>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</si>
  <si>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</si>
  <si>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</si>
  <si>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</si>
  <si>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</si>
  <si>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</si>
  <si>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</si>
  <si>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</si>
  <si>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</si>
  <si>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</si>
  <si>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</si>
  <si>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</si>
  <si>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</si>
  <si>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</si>
  <si>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</si>
  <si>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</si>
  <si>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</si>
  <si>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</si>
  <si>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</si>
  <si>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</si>
  <si>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</si>
  <si>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</si>
  <si>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</si>
  <si>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</si>
  <si>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</si>
  <si>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</si>
  <si>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</si>
  <si>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</si>
  <si>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</si>
  <si>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</si>
  <si>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</si>
  <si>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</si>
  <si>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</si>
  <si>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</si>
  <si>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</si>
  <si>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</si>
  <si>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</si>
  <si>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</si>
  <si>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</si>
  <si>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</si>
  <si>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</si>
  <si>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</si>
  <si>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</si>
  <si>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</si>
  <si>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</si>
  <si>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</si>
  <si>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</si>
  <si>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</si>
  <si>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</si>
  <si>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</si>
  <si>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</si>
  <si>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</si>
  <si>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</si>
  <si>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</si>
  <si>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</si>
  <si>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</si>
  <si>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</si>
  <si>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</si>
  <si>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</si>
  <si>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</si>
  <si>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</si>
  <si>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</si>
  <si>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</si>
  <si>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</si>
  <si>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</si>
  <si>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</si>
  <si>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</si>
  <si>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</si>
  <si>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</si>
  <si>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</si>
  <si>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</si>
  <si>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</si>
  <si>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</si>
  <si>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</si>
  <si>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</si>
  <si>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</si>
  <si>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</si>
  <si>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</si>
  <si>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</si>
  <si>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</si>
  <si>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</si>
  <si>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</si>
  <si>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</si>
  <si>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</si>
  <si>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</si>
  <si>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</si>
  <si>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</si>
  <si>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</si>
  <si>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</si>
  <si>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</si>
  <si>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</si>
  <si>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</si>
  <si>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</si>
  <si>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</si>
  <si>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</si>
  <si>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</si>
  <si>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</si>
  <si>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</si>
  <si>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</si>
  <si>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</si>
  <si>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</si>
  <si>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</si>
  <si>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</si>
  <si>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</si>
  <si>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</si>
  <si>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</si>
  <si>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</si>
  <si>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</si>
  <si>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</si>
  <si>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</si>
  <si>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</si>
  <si>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</si>
  <si>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</si>
  <si>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</si>
  <si>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</si>
  <si>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</si>
  <si>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</si>
  <si>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</si>
  <si>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</si>
  <si>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</si>
  <si>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</si>
  <si>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</si>
  <si>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</si>
  <si>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</si>
  <si>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</si>
  <si>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</si>
  <si>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</si>
  <si>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</si>
  <si>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</si>
  <si>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</si>
  <si>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</si>
  <si>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</si>
  <si>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</si>
  <si>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</si>
  <si>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</si>
  <si>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</si>
  <si>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</si>
  <si>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</si>
  <si>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</si>
  <si>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</si>
  <si>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</si>
  <si>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</si>
  <si>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</si>
  <si>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</si>
  <si>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</si>
  <si>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</si>
  <si>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</si>
  <si>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</si>
  <si>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</si>
  <si>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</si>
  <si>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</si>
  <si>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</si>
  <si>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</si>
  <si>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</si>
  <si>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</si>
  <si>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</si>
  <si>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</si>
  <si>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</si>
  <si>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</si>
  <si>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</si>
  <si>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</si>
  <si>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</si>
  <si>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</si>
  <si>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</si>
  <si>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</si>
  <si>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</si>
  <si>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</si>
  <si>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</si>
  <si>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</si>
  <si>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</si>
  <si>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</si>
  <si>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</si>
  <si>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</si>
  <si>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</si>
  <si>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</si>
  <si>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</si>
  <si>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</si>
  <si>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</si>
  <si>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</si>
  <si>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</si>
  <si>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</si>
  <si>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</si>
  <si>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</si>
  <si>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</si>
  <si>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</si>
  <si>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</si>
  <si>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</si>
  <si>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</si>
  <si>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</si>
  <si>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</si>
  <si>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</si>
  <si>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</si>
  <si>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</si>
  <si>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</si>
  <si>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</si>
  <si>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</si>
  <si>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</si>
  <si>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</si>
  <si>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</si>
  <si>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</si>
  <si>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</si>
  <si>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</si>
  <si>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</si>
  <si>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</si>
  <si>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</si>
  <si>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</si>
  <si>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</si>
  <si>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</si>
  <si>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</si>
  <si>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</si>
  <si>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</si>
  <si>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</si>
  <si>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</si>
  <si>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</si>
  <si>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</si>
  <si>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</si>
  <si>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</si>
  <si>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</si>
  <si>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</si>
  <si>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</si>
  <si>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</si>
  <si>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</si>
  <si>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</si>
  <si>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</si>
  <si>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</si>
  <si>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</si>
  <si>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</si>
  <si>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</si>
  <si>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24028</t>
  </si>
  <si>
    <t>GEETBETS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</si>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</sst>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29645D3F-BAD1-4704-B330-52DC94869DD2}"/>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24028</v>
      </c>
      <c r="B6" s="382"/>
      <c r="C6" s="383"/>
    </row>
    <row r="7" spans="1:7" s="380" customFormat="1" ht="15.75" customHeight="1">
      <c r="A7" s="384" t="str">
        <f>txtMunicipality</f>
        <v>GEETBETS</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0.20375543705348317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0.20375543705348317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2368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2251</v>
      </c>
      <c r="C14" s="324"/>
      <c r="D14" s="324"/>
      <c r="E14" s="324"/>
      <c r="F14" s="324"/>
    </row>
    <row r="15" spans="1:6">
      <c r="A15" s="1235" t="s">
        <v>177</v>
      </c>
      <c r="B15" s="1236">
        <v>3765</v>
      </c>
      <c r="C15" s="324"/>
      <c r="D15" s="324"/>
      <c r="E15" s="324"/>
      <c r="F15" s="324"/>
    </row>
    <row r="16" spans="1:6">
      <c r="A16" s="1235" t="s">
        <v>6</v>
      </c>
      <c r="B16" s="1236">
        <v>278</v>
      </c>
      <c r="C16" s="324"/>
      <c r="D16" s="324"/>
      <c r="E16" s="324"/>
      <c r="F16" s="324"/>
    </row>
    <row r="17" spans="1:6">
      <c r="A17" s="1235" t="s">
        <v>7</v>
      </c>
      <c r="B17" s="1236">
        <v>629</v>
      </c>
      <c r="C17" s="324"/>
      <c r="D17" s="324"/>
      <c r="E17" s="324"/>
      <c r="F17" s="324"/>
    </row>
    <row r="18" spans="1:6">
      <c r="A18" s="1235" t="s">
        <v>8</v>
      </c>
      <c r="B18" s="1236">
        <v>751</v>
      </c>
      <c r="C18" s="324"/>
      <c r="D18" s="324"/>
      <c r="E18" s="324"/>
      <c r="F18" s="324"/>
    </row>
    <row r="19" spans="1:6">
      <c r="A19" s="1235" t="s">
        <v>9</v>
      </c>
      <c r="B19" s="1236">
        <v>631</v>
      </c>
      <c r="C19" s="324"/>
      <c r="D19" s="324"/>
      <c r="E19" s="324"/>
      <c r="F19" s="324"/>
    </row>
    <row r="20" spans="1:6">
      <c r="A20" s="1235" t="s">
        <v>10</v>
      </c>
      <c r="B20" s="1236">
        <v>424</v>
      </c>
      <c r="C20" s="324"/>
      <c r="D20" s="324"/>
      <c r="E20" s="324"/>
      <c r="F20" s="324"/>
    </row>
    <row r="21" spans="1:6">
      <c r="A21" s="1235" t="s">
        <v>11</v>
      </c>
      <c r="B21" s="1236">
        <v>34</v>
      </c>
      <c r="C21" s="324"/>
      <c r="D21" s="324"/>
      <c r="E21" s="324"/>
      <c r="F21" s="324"/>
    </row>
    <row r="22" spans="1:6">
      <c r="A22" s="1235" t="s">
        <v>12</v>
      </c>
      <c r="B22" s="1236">
        <v>989</v>
      </c>
      <c r="C22" s="324"/>
      <c r="D22" s="324"/>
      <c r="E22" s="324"/>
      <c r="F22" s="324"/>
    </row>
    <row r="23" spans="1:6">
      <c r="A23" s="1235" t="s">
        <v>13</v>
      </c>
      <c r="B23" s="1236">
        <v>14</v>
      </c>
      <c r="C23" s="324"/>
      <c r="D23" s="324"/>
      <c r="E23" s="324"/>
      <c r="F23" s="324"/>
    </row>
    <row r="24" spans="1:6">
      <c r="A24" s="1235" t="s">
        <v>14</v>
      </c>
      <c r="B24" s="1236">
        <v>1</v>
      </c>
      <c r="C24" s="324"/>
      <c r="D24" s="324"/>
      <c r="E24" s="324"/>
      <c r="F24" s="324"/>
    </row>
    <row r="25" spans="1:6">
      <c r="A25" s="1235" t="s">
        <v>15</v>
      </c>
      <c r="B25" s="1236">
        <v>10</v>
      </c>
      <c r="C25" s="324"/>
      <c r="D25" s="324"/>
      <c r="E25" s="324"/>
      <c r="F25" s="324"/>
    </row>
    <row r="26" spans="1:6">
      <c r="A26" s="1235" t="s">
        <v>16</v>
      </c>
      <c r="B26" s="1236">
        <v>1</v>
      </c>
      <c r="C26" s="324"/>
      <c r="D26" s="324"/>
      <c r="E26" s="324"/>
      <c r="F26" s="324"/>
    </row>
    <row r="27" spans="1:6">
      <c r="A27" s="1235" t="s">
        <v>17</v>
      </c>
      <c r="B27" s="1236">
        <v>252</v>
      </c>
      <c r="C27" s="324"/>
      <c r="D27" s="324"/>
      <c r="E27" s="324"/>
      <c r="F27" s="324"/>
    </row>
    <row r="28" spans="1:6">
      <c r="A28" s="1235" t="s">
        <v>18</v>
      </c>
      <c r="B28" s="1237">
        <v>54658</v>
      </c>
      <c r="C28" s="324"/>
      <c r="D28" s="324"/>
      <c r="E28" s="324"/>
      <c r="F28" s="324"/>
    </row>
    <row r="29" spans="1:6">
      <c r="A29" s="1235" t="s">
        <v>959</v>
      </c>
      <c r="B29" s="1237">
        <v>67</v>
      </c>
      <c r="C29" s="324"/>
      <c r="D29" s="324"/>
      <c r="E29" s="324"/>
      <c r="F29" s="324"/>
    </row>
    <row r="30" spans="1:6">
      <c r="A30" s="1230" t="s">
        <v>960</v>
      </c>
      <c r="B30" s="1238">
        <v>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271</v>
      </c>
      <c r="D39" s="1236">
        <v>5224433</v>
      </c>
      <c r="E39" s="1236">
        <v>2313</v>
      </c>
      <c r="F39" s="1236">
        <v>10801989</v>
      </c>
    </row>
    <row r="40" spans="1:6">
      <c r="A40" s="1235" t="s">
        <v>29</v>
      </c>
      <c r="B40" s="1235" t="s">
        <v>28</v>
      </c>
      <c r="C40" s="1236">
        <v>0</v>
      </c>
      <c r="D40" s="1236">
        <v>0</v>
      </c>
      <c r="E40" s="1236">
        <v>0</v>
      </c>
      <c r="F40" s="1236">
        <v>0</v>
      </c>
    </row>
    <row r="41" spans="1:6">
      <c r="A41" s="1235" t="s">
        <v>31</v>
      </c>
      <c r="B41" s="1235" t="s">
        <v>32</v>
      </c>
      <c r="C41" s="1236">
        <v>0</v>
      </c>
      <c r="D41" s="1236">
        <v>0</v>
      </c>
      <c r="E41" s="1236">
        <v>34</v>
      </c>
      <c r="F41" s="1236">
        <v>231748</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3</v>
      </c>
      <c r="D48" s="1236">
        <v>42542</v>
      </c>
      <c r="E48" s="1236">
        <v>3</v>
      </c>
      <c r="F48" s="1236">
        <v>208172</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75</v>
      </c>
      <c r="F51" s="1236">
        <v>2910311</v>
      </c>
    </row>
    <row r="52" spans="1:6">
      <c r="A52" s="1235" t="s">
        <v>41</v>
      </c>
      <c r="B52" s="1235" t="s">
        <v>28</v>
      </c>
      <c r="C52" s="1236">
        <v>1</v>
      </c>
      <c r="D52" s="1236">
        <v>10384</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0</v>
      </c>
      <c r="F54" s="1236">
        <v>0</v>
      </c>
    </row>
    <row r="55" spans="1:6">
      <c r="A55" s="1235" t="s">
        <v>45</v>
      </c>
      <c r="B55" s="1235" t="s">
        <v>28</v>
      </c>
      <c r="C55" s="1236">
        <v>0</v>
      </c>
      <c r="D55" s="1236">
        <v>0</v>
      </c>
      <c r="E55" s="1236">
        <v>1</v>
      </c>
      <c r="F55" s="1236">
        <v>363687</v>
      </c>
    </row>
    <row r="56" spans="1:6">
      <c r="A56" s="1235" t="s">
        <v>47</v>
      </c>
      <c r="B56" s="1235" t="s">
        <v>28</v>
      </c>
      <c r="C56" s="1236">
        <v>2</v>
      </c>
      <c r="D56" s="1236">
        <v>108868</v>
      </c>
      <c r="E56" s="1236">
        <v>111</v>
      </c>
      <c r="F56" s="1236">
        <v>901549</v>
      </c>
    </row>
    <row r="57" spans="1:6">
      <c r="A57" s="1235" t="s">
        <v>48</v>
      </c>
      <c r="B57" s="1235" t="s">
        <v>49</v>
      </c>
      <c r="C57" s="1236">
        <v>0</v>
      </c>
      <c r="D57" s="1236">
        <v>0</v>
      </c>
      <c r="E57" s="1236">
        <v>17</v>
      </c>
      <c r="F57" s="1236">
        <v>285494</v>
      </c>
    </row>
    <row r="58" spans="1:6">
      <c r="A58" s="1235" t="s">
        <v>48</v>
      </c>
      <c r="B58" s="1235" t="s">
        <v>50</v>
      </c>
      <c r="C58" s="1236">
        <v>3</v>
      </c>
      <c r="D58" s="1236">
        <v>35740</v>
      </c>
      <c r="E58" s="1236">
        <v>3</v>
      </c>
      <c r="F58" s="1236">
        <v>19033</v>
      </c>
    </row>
    <row r="59" spans="1:6">
      <c r="A59" s="1235" t="s">
        <v>48</v>
      </c>
      <c r="B59" s="1235" t="s">
        <v>51</v>
      </c>
      <c r="C59" s="1236">
        <v>4</v>
      </c>
      <c r="D59" s="1236">
        <v>58695</v>
      </c>
      <c r="E59" s="1236">
        <v>55</v>
      </c>
      <c r="F59" s="1236">
        <v>2626671</v>
      </c>
    </row>
    <row r="60" spans="1:6">
      <c r="A60" s="1235" t="s">
        <v>48</v>
      </c>
      <c r="B60" s="1235" t="s">
        <v>52</v>
      </c>
      <c r="C60" s="1236">
        <v>5</v>
      </c>
      <c r="D60" s="1236">
        <v>395665</v>
      </c>
      <c r="E60" s="1236">
        <v>13</v>
      </c>
      <c r="F60" s="1236">
        <v>453894</v>
      </c>
    </row>
    <row r="61" spans="1:6">
      <c r="A61" s="1235" t="s">
        <v>48</v>
      </c>
      <c r="B61" s="1235" t="s">
        <v>53</v>
      </c>
      <c r="C61" s="1236">
        <v>13</v>
      </c>
      <c r="D61" s="1236">
        <v>460922</v>
      </c>
      <c r="E61" s="1236">
        <v>41</v>
      </c>
      <c r="F61" s="1236">
        <v>481877</v>
      </c>
    </row>
    <row r="62" spans="1:6">
      <c r="A62" s="1235" t="s">
        <v>48</v>
      </c>
      <c r="B62" s="1235" t="s">
        <v>54</v>
      </c>
      <c r="C62" s="1236">
        <v>0</v>
      </c>
      <c r="D62" s="1236">
        <v>0</v>
      </c>
      <c r="E62" s="1236">
        <v>0</v>
      </c>
      <c r="F62" s="1236">
        <v>0</v>
      </c>
    </row>
    <row r="63" spans="1:6">
      <c r="A63" s="1235" t="s">
        <v>48</v>
      </c>
      <c r="B63" s="1235" t="s">
        <v>28</v>
      </c>
      <c r="C63" s="1236">
        <v>1</v>
      </c>
      <c r="D63" s="1236">
        <v>32381</v>
      </c>
      <c r="E63" s="1236">
        <v>1</v>
      </c>
      <c r="F63" s="1236">
        <v>30549</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17789</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7557302</v>
      </c>
      <c r="E73" s="443"/>
      <c r="F73" s="324"/>
    </row>
    <row r="74" spans="1:6">
      <c r="A74" s="1235" t="s">
        <v>63</v>
      </c>
      <c r="B74" s="1235" t="s">
        <v>730</v>
      </c>
      <c r="C74" s="1248" t="s">
        <v>731</v>
      </c>
      <c r="D74" s="1236">
        <v>394737.68314200488</v>
      </c>
      <c r="E74" s="443"/>
      <c r="F74" s="324"/>
    </row>
    <row r="75" spans="1:6">
      <c r="A75" s="1235" t="s">
        <v>64</v>
      </c>
      <c r="B75" s="1235" t="s">
        <v>728</v>
      </c>
      <c r="C75" s="1248" t="s">
        <v>732</v>
      </c>
      <c r="D75" s="1236">
        <v>22294331</v>
      </c>
      <c r="E75" s="443"/>
      <c r="F75" s="324"/>
    </row>
    <row r="76" spans="1:6">
      <c r="A76" s="1235" t="s">
        <v>64</v>
      </c>
      <c r="B76" s="1235" t="s">
        <v>730</v>
      </c>
      <c r="C76" s="1248" t="s">
        <v>733</v>
      </c>
      <c r="D76" s="1236">
        <v>750945.68314200488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159676.63371599026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847.56576220184115</v>
      </c>
      <c r="C91" s="324"/>
      <c r="D91" s="324"/>
      <c r="E91" s="324"/>
      <c r="F91" s="324"/>
    </row>
    <row r="92" spans="1:6">
      <c r="A92" s="1230" t="s">
        <v>68</v>
      </c>
      <c r="B92" s="1231">
        <v>725.94560462643119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27</v>
      </c>
      <c r="C97" s="324"/>
      <c r="D97" s="324"/>
      <c r="E97" s="324"/>
      <c r="F97" s="324"/>
    </row>
    <row r="98" spans="1:6">
      <c r="A98" s="1235" t="s">
        <v>71</v>
      </c>
      <c r="B98" s="1236">
        <v>1</v>
      </c>
      <c r="C98" s="324"/>
      <c r="D98" s="324"/>
      <c r="E98" s="324"/>
      <c r="F98" s="324"/>
    </row>
    <row r="99" spans="1:6">
      <c r="A99" s="1235" t="s">
        <v>72</v>
      </c>
      <c r="B99" s="1236">
        <v>65</v>
      </c>
      <c r="C99" s="324"/>
      <c r="D99" s="324"/>
      <c r="E99" s="324"/>
      <c r="F99" s="324"/>
    </row>
    <row r="100" spans="1:6">
      <c r="A100" s="1235" t="s">
        <v>73</v>
      </c>
      <c r="B100" s="1236">
        <v>77</v>
      </c>
      <c r="C100" s="324"/>
      <c r="D100" s="324"/>
      <c r="E100" s="324"/>
      <c r="F100" s="324"/>
    </row>
    <row r="101" spans="1:6">
      <c r="A101" s="1235" t="s">
        <v>74</v>
      </c>
      <c r="B101" s="1236">
        <v>32</v>
      </c>
      <c r="C101" s="324"/>
      <c r="D101" s="324"/>
      <c r="E101" s="324"/>
      <c r="F101" s="324"/>
    </row>
    <row r="102" spans="1:6">
      <c r="A102" s="1235" t="s">
        <v>75</v>
      </c>
      <c r="B102" s="1236">
        <v>32</v>
      </c>
      <c r="C102" s="324"/>
      <c r="D102" s="324"/>
      <c r="E102" s="324"/>
      <c r="F102" s="324"/>
    </row>
    <row r="103" spans="1:6">
      <c r="A103" s="1235" t="s">
        <v>76</v>
      </c>
      <c r="B103" s="1236">
        <v>84</v>
      </c>
      <c r="C103" s="324"/>
      <c r="D103" s="324"/>
      <c r="E103" s="324"/>
      <c r="F103" s="324"/>
    </row>
    <row r="104" spans="1:6">
      <c r="A104" s="1235" t="s">
        <v>77</v>
      </c>
      <c r="B104" s="1236">
        <v>1936</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3</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22</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11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20165.545113991335</v>
      </c>
      <c r="C3" s="43" t="s">
        <v>163</v>
      </c>
      <c r="D3" s="43"/>
      <c r="E3" s="155"/>
      <c r="F3" s="43"/>
      <c r="G3" s="43"/>
      <c r="H3" s="43"/>
      <c r="I3" s="43"/>
      <c r="J3" s="43"/>
      <c r="K3" s="96"/>
    </row>
    <row r="4" spans="1:11">
      <c r="A4" s="350" t="s">
        <v>164</v>
      </c>
      <c r="B4" s="49">
        <f>IF(ISERROR('SEAP template'!B78+'SEAP template'!C78),0,'SEAP template'!B78+'SEAP template'!C78)</f>
        <v>1573.5113668282725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0.20375543705348317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363.68700000000001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363.68700000000001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0.20375543705348317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74.103203635670141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10801.989</v>
      </c>
      <c r="C5" s="17">
        <f>IF(ISERROR('Eigen informatie GS &amp; warmtenet'!B57),0,'Eigen informatie GS &amp; warmtenet'!B57)</f>
        <v>0</v>
      </c>
      <c r="D5" s="30">
        <f>(SUM(HH_hh_gas_kWh,HH_rest_gas_kWh)/1000)*0.902</f>
        <v>4712.4385659999998</v>
      </c>
      <c r="E5" s="17">
        <f>B32*B41</f>
        <v>1011.9694927988375</v>
      </c>
      <c r="F5" s="17">
        <f>B36*B45</f>
        <v>34542.967044306541</v>
      </c>
      <c r="G5" s="18"/>
      <c r="H5" s="17"/>
      <c r="I5" s="17"/>
      <c r="J5" s="17">
        <f>B35*B44+C35*C44</f>
        <v>777.82004149617364</v>
      </c>
      <c r="K5" s="17"/>
      <c r="L5" s="17"/>
      <c r="M5" s="17"/>
      <c r="N5" s="17">
        <f>B34*B43+C34*C43</f>
        <v>3249.5395663328527</v>
      </c>
      <c r="O5" s="17">
        <f>B52*B53*B54</f>
        <v>34.393333333333338</v>
      </c>
      <c r="P5" s="17">
        <f>B60*B61*B62/1000-B60*B61*B62/1000/B63</f>
        <v>266.93333333333334</v>
      </c>
    </row>
    <row r="6" spans="1:16">
      <c r="A6" s="16" t="s">
        <v>591</v>
      </c>
      <c r="B6" s="727">
        <f>kWh_PV_kleiner_dan_10kW</f>
        <v>847.56576220184115</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11649.55476220184</v>
      </c>
      <c r="C8" s="21">
        <f>C5</f>
        <v>0</v>
      </c>
      <c r="D8" s="21">
        <f>D5</f>
        <v>4712.4385659999998</v>
      </c>
      <c r="E8" s="21">
        <f>E5</f>
        <v>1011.9694927988375</v>
      </c>
      <c r="F8" s="21">
        <f>F5</f>
        <v>34542.967044306541</v>
      </c>
      <c r="G8" s="21"/>
      <c r="H8" s="21"/>
      <c r="I8" s="21"/>
      <c r="J8" s="21">
        <f>J5</f>
        <v>777.82004149617364</v>
      </c>
      <c r="K8" s="21"/>
      <c r="L8" s="21">
        <f>L5</f>
        <v>0</v>
      </c>
      <c r="M8" s="21">
        <f>M5</f>
        <v>0</v>
      </c>
      <c r="N8" s="21">
        <f>N5</f>
        <v>3249.5395663328527</v>
      </c>
      <c r="O8" s="21">
        <f>O5</f>
        <v>34.393333333333338</v>
      </c>
      <c r="P8" s="21">
        <f>P5</f>
        <v>266.93333333333334</v>
      </c>
    </row>
    <row r="9" spans="1:16">
      <c r="B9" s="19"/>
      <c r="C9" s="19"/>
      <c r="D9" s="255"/>
      <c r="E9" s="19"/>
      <c r="F9" s="19"/>
      <c r="G9" s="19"/>
      <c r="H9" s="19"/>
      <c r="I9" s="19"/>
      <c r="J9" s="19"/>
      <c r="K9" s="19"/>
      <c r="L9" s="19"/>
      <c r="M9" s="19"/>
      <c r="N9" s="19"/>
      <c r="O9" s="19"/>
      <c r="P9" s="19"/>
    </row>
    <row r="10" spans="1:16">
      <c r="A10" s="24" t="s">
        <v>207</v>
      </c>
      <c r="B10" s="25">
        <f ca="1">'EF ele_warmte'!B12</f>
        <v>0.20375543705348317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2373.6601220509224</v>
      </c>
      <c r="C12" s="23">
        <f ca="1">C10*C8</f>
        <v>0</v>
      </c>
      <c r="D12" s="23">
        <f>D8*D10</f>
        <v>951.91259033200004</v>
      </c>
      <c r="E12" s="23">
        <f>E10*E8</f>
        <v>229.71707486533612</v>
      </c>
      <c r="F12" s="23">
        <f>F10*F8</f>
        <v>9222.9722008298468</v>
      </c>
      <c r="G12" s="23"/>
      <c r="H12" s="23"/>
      <c r="I12" s="23"/>
      <c r="J12" s="23">
        <f>J10*J8</f>
        <v>275.34829468964546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2368</v>
      </c>
      <c r="C26" s="36"/>
      <c r="D26" s="225"/>
    </row>
    <row r="27" spans="1:5" s="15" customFormat="1">
      <c r="A27" s="227" t="s">
        <v>671</v>
      </c>
      <c r="B27" s="37">
        <f>SUM(HH_hh_gas_aantal,HH_rest_gas_aantal)</f>
        <v>271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257.45</v>
      </c>
      <c r="C31" s="34" t="s">
        <v>104</v>
      </c>
      <c r="D31" s="171"/>
    </row>
    <row r="32" spans="1:5">
      <c r="A32" s="168" t="s">
        <v>72</v>
      </c>
      <c r="B32" s="33">
        <f>IF((B21*($B$26-($B$27-0.05*$B$27)-$B$60))&lt;0,0,B21*($B$26-($B$27-0.05*$B$27)-$B$60))</f>
        <v>14.86363515592047</v>
      </c>
      <c r="C32" s="34" t="s">
        <v>104</v>
      </c>
      <c r="D32" s="171"/>
    </row>
    <row r="33" spans="1:6">
      <c r="A33" s="168" t="s">
        <v>73</v>
      </c>
      <c r="B33" s="33">
        <f>IF((B22*($B$26-($B$27-0.05*$B$27)-$B$60))&lt;0,0,B22*($B$26-($B$27-0.05*$B$27)-$B$60))</f>
        <v>425.98976130539421</v>
      </c>
      <c r="C33" s="34" t="s">
        <v>104</v>
      </c>
      <c r="D33" s="171"/>
    </row>
    <row r="34" spans="1:6">
      <c r="A34" s="168" t="s">
        <v>74</v>
      </c>
      <c r="B34" s="33">
        <f>IF((B24*($B$26-($B$27-0.05*$B$27)-$B$60))&lt;0,0,B24*($B$26-($B$27-0.05*$B$27)-$B$60))</f>
        <v>84.946860400028143</v>
      </c>
      <c r="C34" s="33">
        <f>B26*C24</f>
        <v>484.20299168063815</v>
      </c>
      <c r="D34" s="230"/>
    </row>
    <row r="35" spans="1:6">
      <c r="A35" s="168" t="s">
        <v>76</v>
      </c>
      <c r="B35" s="33">
        <f>IF((B19*($B$26-($B$27-0.05*$B$27)-$B$60))&lt;0,0,B19*($B$26-($B$27-0.05*$B$27)-$B$60))</f>
        <v>44.23700939262045</v>
      </c>
      <c r="C35" s="33">
        <f>B35/2</f>
        <v>22.118504696310225</v>
      </c>
      <c r="D35" s="230"/>
    </row>
    <row r="36" spans="1:6">
      <c r="A36" s="168" t="s">
        <v>77</v>
      </c>
      <c r="B36" s="33">
        <f>IF((B18*($B$26-($B$27-0.05*$B$27)-$B$60))&lt;0,0,B18*($B$26-($B$27-0.05*$B$27)-$B$60))</f>
        <v>1526.5127337460369</v>
      </c>
      <c r="C36" s="34" t="s">
        <v>104</v>
      </c>
      <c r="D36" s="171"/>
    </row>
    <row r="37" spans="1:6">
      <c r="A37" s="168" t="s">
        <v>78</v>
      </c>
      <c r="B37" s="33">
        <f>B60</f>
        <v>14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3897.518</v>
      </c>
      <c r="C5" s="17">
        <f>IF(ISERROR('Eigen informatie GS &amp; warmtenet'!B58),0,'Eigen informatie GS &amp; warmtenet'!B58)</f>
        <v>0</v>
      </c>
      <c r="D5" s="30">
        <f>SUM(D6:D12)</f>
        <v>887.02950600000008</v>
      </c>
      <c r="E5" s="17">
        <f>SUM(E6:E12)</f>
        <v>57.232152673229287</v>
      </c>
      <c r="F5" s="17">
        <f>SUM(F6:F12)</f>
        <v>635.2188305752145</v>
      </c>
      <c r="G5" s="18"/>
      <c r="H5" s="17"/>
      <c r="I5" s="17"/>
      <c r="J5" s="17">
        <f>SUM(J6:J12)</f>
        <v>0</v>
      </c>
      <c r="K5" s="17"/>
      <c r="L5" s="17"/>
      <c r="M5" s="17"/>
      <c r="N5" s="17">
        <f>SUM(N6:N12)</f>
        <v>69.151429556826542</v>
      </c>
      <c r="O5" s="17">
        <f>B38*B39*B40</f>
        <v>1.5633333333333335</v>
      </c>
      <c r="P5" s="17">
        <f>B46*B47*B48/1000-B46*B47*B48/1000/B49</f>
        <v>0</v>
      </c>
      <c r="R5" s="32"/>
    </row>
    <row r="6" spans="1:18">
      <c r="A6" s="32" t="s">
        <v>53</v>
      </c>
      <c r="B6" s="37">
        <f>B26</f>
        <v>481.87700000000001</v>
      </c>
      <c r="C6" s="33"/>
      <c r="D6" s="37">
        <f>IF(ISERROR(TER_kantoor_gas_kWh/1000),0,TER_kantoor_gas_kWh/1000)*0.902</f>
        <v>415.75164400000006</v>
      </c>
      <c r="E6" s="33">
        <f>$C$26*'E Balans VL '!I12/100/3.6*1000000</f>
        <v>16.669094459913389</v>
      </c>
      <c r="F6" s="33">
        <f>$C$26*('E Balans VL '!L12+'E Balans VL '!N12)/100/3.6*1000000</f>
        <v>73.563640841451345</v>
      </c>
      <c r="G6" s="34"/>
      <c r="H6" s="33"/>
      <c r="I6" s="33"/>
      <c r="J6" s="33">
        <f>$C$26*('E Balans VL '!D12+'E Balans VL '!E12)/100/3.6*1000000</f>
        <v>0</v>
      </c>
      <c r="K6" s="33"/>
      <c r="L6" s="33"/>
      <c r="M6" s="33"/>
      <c r="N6" s="33">
        <f>$C$26*'E Balans VL '!Y12/100/3.6*1000000</f>
        <v>7.4283630233968267</v>
      </c>
      <c r="O6" s="33"/>
      <c r="P6" s="33"/>
      <c r="R6" s="32"/>
    </row>
    <row r="7" spans="1:18">
      <c r="A7" s="32" t="s">
        <v>52</v>
      </c>
      <c r="B7" s="37">
        <f t="shared" ref="B7:B12" si="0">B27</f>
        <v>453.89400000000001</v>
      </c>
      <c r="C7" s="33"/>
      <c r="D7" s="37">
        <f>IF(ISERROR(TER_horeca_gas_kWh/1000),0,TER_horeca_gas_kWh/1000)*0.902</f>
        <v>356.88983000000002</v>
      </c>
      <c r="E7" s="33">
        <f>$C$27*'E Balans VL '!I9/100/3.6*1000000</f>
        <v>24.8748335085848</v>
      </c>
      <c r="F7" s="33">
        <f>$C$27*('E Balans VL '!L9+'E Balans VL '!N9)/100/3.6*1000000</f>
        <v>76.814047485952415</v>
      </c>
      <c r="G7" s="34"/>
      <c r="H7" s="33"/>
      <c r="I7" s="33"/>
      <c r="J7" s="33">
        <f>$C$27*('E Balans VL '!D9+'E Balans VL '!E9)/100/3.6*1000000</f>
        <v>0</v>
      </c>
      <c r="K7" s="33"/>
      <c r="L7" s="33"/>
      <c r="M7" s="33"/>
      <c r="N7" s="33">
        <f>$C$27*'E Balans VL '!Y9/100/3.6*1000000</f>
        <v>0</v>
      </c>
      <c r="O7" s="33"/>
      <c r="P7" s="33"/>
      <c r="R7" s="32"/>
    </row>
    <row r="8" spans="1:18">
      <c r="A8" s="6" t="s">
        <v>51</v>
      </c>
      <c r="B8" s="37">
        <f t="shared" si="0"/>
        <v>2626.6709999999998</v>
      </c>
      <c r="C8" s="33"/>
      <c r="D8" s="37">
        <f>IF(ISERROR(TER_handel_gas_kWh/1000),0,TER_handel_gas_kWh/1000)*0.902</f>
        <v>52.942889999999998</v>
      </c>
      <c r="E8" s="33">
        <f>$C$28*'E Balans VL '!I13/100/3.6*1000000</f>
        <v>13.288777091613451</v>
      </c>
      <c r="F8" s="33">
        <f>$C$28*('E Balans VL '!L13+'E Balans VL '!N13)/100/3.6*1000000</f>
        <v>399.10211467449199</v>
      </c>
      <c r="G8" s="34"/>
      <c r="H8" s="33"/>
      <c r="I8" s="33"/>
      <c r="J8" s="33">
        <f>$C$28*('E Balans VL '!D13+'E Balans VL '!E13)/100/3.6*1000000</f>
        <v>0</v>
      </c>
      <c r="K8" s="33"/>
      <c r="L8" s="33"/>
      <c r="M8" s="33"/>
      <c r="N8" s="33">
        <f>$C$28*'E Balans VL '!Y13/100/3.6*1000000</f>
        <v>1.2283016736973291</v>
      </c>
      <c r="O8" s="33"/>
      <c r="P8" s="33"/>
      <c r="R8" s="32"/>
    </row>
    <row r="9" spans="1:18">
      <c r="A9" s="32" t="s">
        <v>50</v>
      </c>
      <c r="B9" s="37">
        <f t="shared" si="0"/>
        <v>19.033000000000001</v>
      </c>
      <c r="C9" s="33"/>
      <c r="D9" s="37">
        <f>IF(ISERROR(TER_gezond_gas_kWh/1000),0,TER_gezond_gas_kWh/1000)*0.902</f>
        <v>32.237480000000005</v>
      </c>
      <c r="E9" s="33">
        <f>$C$29*'E Balans VL '!I10/100/3.6*1000000</f>
        <v>6.9212678325664958E-3</v>
      </c>
      <c r="F9" s="33">
        <f>$C$29*('E Balans VL '!L10+'E Balans VL '!N10)/100/3.6*1000000</f>
        <v>4.112516987299399</v>
      </c>
      <c r="G9" s="34"/>
      <c r="H9" s="33"/>
      <c r="I9" s="33"/>
      <c r="J9" s="33">
        <f>$C$29*('E Balans VL '!D10+'E Balans VL '!E10)/100/3.6*1000000</f>
        <v>0</v>
      </c>
      <c r="K9" s="33"/>
      <c r="L9" s="33"/>
      <c r="M9" s="33"/>
      <c r="N9" s="33">
        <f>$C$29*'E Balans VL '!Y10/100/3.6*1000000</f>
        <v>0.14431342060453795</v>
      </c>
      <c r="O9" s="33"/>
      <c r="P9" s="33"/>
      <c r="R9" s="32"/>
    </row>
    <row r="10" spans="1:18">
      <c r="A10" s="32" t="s">
        <v>49</v>
      </c>
      <c r="B10" s="37">
        <f t="shared" si="0"/>
        <v>285.49400000000003</v>
      </c>
      <c r="C10" s="33"/>
      <c r="D10" s="37">
        <f>IF(ISERROR(TER_ander_gas_kWh/1000),0,TER_ander_gas_kWh/1000)*0.902</f>
        <v>0</v>
      </c>
      <c r="E10" s="33">
        <f>$C$30*'E Balans VL '!I14/100/3.6*1000000</f>
        <v>1.7379871839705727</v>
      </c>
      <c r="F10" s="33">
        <f>$C$30*('E Balans VL '!L14+'E Balans VL '!N14)/100/3.6*1000000</f>
        <v>75.584372926615032</v>
      </c>
      <c r="G10" s="34"/>
      <c r="H10" s="33"/>
      <c r="I10" s="33"/>
      <c r="J10" s="33">
        <f>$C$30*('E Balans VL '!D14+'E Balans VL '!E14)/100/3.6*1000000</f>
        <v>0</v>
      </c>
      <c r="K10" s="33"/>
      <c r="L10" s="33"/>
      <c r="M10" s="33"/>
      <c r="N10" s="33">
        <f>$C$30*'E Balans VL '!Y14/100/3.6*1000000</f>
        <v>59.460996273204756</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30.548999999999999</v>
      </c>
      <c r="C12" s="33"/>
      <c r="D12" s="37">
        <f>IF(ISERROR(TER_rest_gas_kWh/1000),0,TER_rest_gas_kWh/1000)*0.902</f>
        <v>29.207662000000003</v>
      </c>
      <c r="E12" s="33">
        <f>$C$32*'E Balans VL '!I8/100/3.6*1000000</f>
        <v>0.6545391613145084</v>
      </c>
      <c r="F12" s="33">
        <f>$C$32*('E Balans VL '!L8+'E Balans VL '!N8)/100/3.6*1000000</f>
        <v>6.0421376594042639</v>
      </c>
      <c r="G12" s="34"/>
      <c r="H12" s="33"/>
      <c r="I12" s="33"/>
      <c r="J12" s="33">
        <f>$C$32*('E Balans VL '!D8+'E Balans VL '!E8)/100/3.6*1000000</f>
        <v>0</v>
      </c>
      <c r="K12" s="33"/>
      <c r="L12" s="33"/>
      <c r="M12" s="33"/>
      <c r="N12" s="33">
        <f>$C$32*'E Balans VL '!Y8/100/3.6*1000000</f>
        <v>0.88945516592309215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3897.518</v>
      </c>
      <c r="C16" s="21">
        <f ca="1">C5+C13+C14</f>
        <v>0</v>
      </c>
      <c r="D16" s="21">
        <f t="shared" ref="D16:N16" ca="1" si="1">MAX((D5+D13+D14),0)</f>
        <v>887.02950600000008</v>
      </c>
      <c r="E16" s="21">
        <f t="shared" si="1"/>
        <v>57.232152673229287</v>
      </c>
      <c r="F16" s="21">
        <f t="shared" ca="1" si="1"/>
        <v>635.2188305752145</v>
      </c>
      <c r="G16" s="21">
        <f t="shared" si="1"/>
        <v>0</v>
      </c>
      <c r="H16" s="21">
        <f t="shared" si="1"/>
        <v>0</v>
      </c>
      <c r="I16" s="21">
        <f t="shared" si="1"/>
        <v>0</v>
      </c>
      <c r="J16" s="21">
        <f t="shared" si="1"/>
        <v>0</v>
      </c>
      <c r="K16" s="21">
        <f t="shared" si="1"/>
        <v>0</v>
      </c>
      <c r="L16" s="21">
        <f t="shared" ca="1" si="1"/>
        <v>0</v>
      </c>
      <c r="M16" s="21">
        <f t="shared" si="1"/>
        <v>0</v>
      </c>
      <c r="N16" s="21">
        <f t="shared" ca="1" si="1"/>
        <v>69.151429556826542</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0.20375543705348317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794.14048351381768</v>
      </c>
      <c r="C20" s="23">
        <f t="shared" ref="C20:P20" ca="1" si="2">C16*C18</f>
        <v>0</v>
      </c>
      <c r="D20" s="23">
        <f t="shared" ca="1" si="2"/>
        <v>179.17996021200003</v>
      </c>
      <c r="E20" s="23">
        <f t="shared" si="2"/>
        <v>12.991698656823049</v>
      </c>
      <c r="F20" s="23">
        <f t="shared" ca="1" si="2"/>
        <v>169.60342776358229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481.87700000000001</v>
      </c>
      <c r="C26" s="39">
        <f>IF(ISERROR(B26*3.6/1000000/'E Balans VL '!Z12*100),0,B26*3.6/1000000/'E Balans VL '!Z12*100)</f>
        <v>1.0020972266588039E-2</v>
      </c>
      <c r="D26" s="233" t="s">
        <v>676</v>
      </c>
      <c r="F26" s="6"/>
    </row>
    <row r="27" spans="1:18">
      <c r="A27" s="228" t="s">
        <v>52</v>
      </c>
      <c r="B27" s="33">
        <f>IF(ISERROR(TER_horeca_ele_kWh/1000),0,TER_horeca_ele_kWh/1000)</f>
        <v>453.89400000000001</v>
      </c>
      <c r="C27" s="39">
        <f>IF(ISERROR(B27*3.6/1000000/'E Balans VL '!Z9*100),0,B27*3.6/1000000/'E Balans VL '!Z9*100)</f>
        <v>3.7333103605830795E-2</v>
      </c>
      <c r="D27" s="233" t="s">
        <v>676</v>
      </c>
      <c r="F27" s="6"/>
    </row>
    <row r="28" spans="1:18">
      <c r="A28" s="168" t="s">
        <v>51</v>
      </c>
      <c r="B28" s="33">
        <f>IF(ISERROR(TER_handel_ele_kWh/1000),0,TER_handel_ele_kWh/1000)</f>
        <v>2626.6709999999998</v>
      </c>
      <c r="C28" s="39">
        <f>IF(ISERROR(B28*3.6/1000000/'E Balans VL '!Z13*100),0,B28*3.6/1000000/'E Balans VL '!Z13*100)</f>
        <v>7.2705739779588149E-2</v>
      </c>
      <c r="D28" s="233" t="s">
        <v>676</v>
      </c>
      <c r="F28" s="6"/>
    </row>
    <row r="29" spans="1:18">
      <c r="A29" s="228" t="s">
        <v>50</v>
      </c>
      <c r="B29" s="33">
        <f>IF(ISERROR(TER_gezond_ele_kWh/1000),0,TER_gezond_ele_kWh/1000)</f>
        <v>19.033000000000001</v>
      </c>
      <c r="C29" s="39">
        <f>IF(ISERROR(B29*3.6/1000000/'E Balans VL '!Z10*100),0,B29*3.6/1000000/'E Balans VL '!Z10*100)</f>
        <v>2.1705755013711713E-3</v>
      </c>
      <c r="D29" s="233" t="s">
        <v>676</v>
      </c>
      <c r="F29" s="6"/>
    </row>
    <row r="30" spans="1:18">
      <c r="A30" s="228" t="s">
        <v>49</v>
      </c>
      <c r="B30" s="33">
        <f>IF(ISERROR(TER_ander_ele_kWh/1000),0,TER_ander_ele_kWh/1000)</f>
        <v>285.49400000000003</v>
      </c>
      <c r="C30" s="39">
        <f>IF(ISERROR(B30*3.6/1000000/'E Balans VL '!Z14*100),0,B30*3.6/1000000/'E Balans VL '!Z14*100)</f>
        <v>2.2098010009790021E-2</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30.548999999999999</v>
      </c>
      <c r="C32" s="39">
        <f>IF(ISERROR(B32*3.6/1000000/'E Balans VL '!Z8*100),0,B32*3.6/1000000/'E Balans VL '!Z8*100)</f>
        <v>2.5190948876561303E-4</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439.91999999999996</v>
      </c>
      <c r="C5" s="17">
        <f>IF(ISERROR('Eigen informatie GS &amp; warmtenet'!B59),0,'Eigen informatie GS &amp; warmtenet'!B59)</f>
        <v>0</v>
      </c>
      <c r="D5" s="30">
        <f>SUM(D6:D15)</f>
        <v>38.372883999999999</v>
      </c>
      <c r="E5" s="17">
        <f>SUM(E6:E15)</f>
        <v>5.7711946281367457</v>
      </c>
      <c r="F5" s="17">
        <f>SUM(F6:F15)</f>
        <v>222.78264140948909</v>
      </c>
      <c r="G5" s="18"/>
      <c r="H5" s="17"/>
      <c r="I5" s="17"/>
      <c r="J5" s="17">
        <f>SUM(J6:J15)</f>
        <v>1.4225970228159517</v>
      </c>
      <c r="K5" s="17"/>
      <c r="L5" s="17"/>
      <c r="M5" s="17"/>
      <c r="N5" s="17">
        <f>SUM(N6:N15)</f>
        <v>20.922478397356731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231.74799999999999</v>
      </c>
      <c r="C9" s="33"/>
      <c r="D9" s="37">
        <f>IF( ISERROR(IND_andere_gas_kWh/1000),0,IND_andere_gas_kWh/1000)*0.902</f>
        <v>0</v>
      </c>
      <c r="E9" s="33">
        <f>C31*'E Balans VL '!I19/100/3.6*1000000</f>
        <v>3.8924915603644346</v>
      </c>
      <c r="F9" s="33">
        <f>C31*'E Balans VL '!L19/100/3.6*1000000+C31*'E Balans VL '!N19/100/3.6*1000000</f>
        <v>181.16738701948574</v>
      </c>
      <c r="G9" s="34"/>
      <c r="H9" s="33"/>
      <c r="I9" s="33"/>
      <c r="J9" s="40">
        <f>C31*'E Balans VL '!D19/100/3.6*1000000+C31*'E Balans VL '!E19/100/3.6*1000000</f>
        <v>2.0901623871201019E-2</v>
      </c>
      <c r="K9" s="33"/>
      <c r="L9" s="33"/>
      <c r="M9" s="33"/>
      <c r="N9" s="33">
        <f>C31*'E Balans VL '!Y19/100/3.6*1000000</f>
        <v>17.176244869331338</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208.172</v>
      </c>
      <c r="C15" s="33"/>
      <c r="D15" s="37">
        <f>IF( ISERROR(IND_rest_gas_kWh/1000),0,IND_rest_gas_kWh/1000)*0.902</f>
        <v>38.372883999999999</v>
      </c>
      <c r="E15" s="33">
        <f>C37*'E Balans VL '!I15/100/3.6*1000000</f>
        <v>1.8787030677723109</v>
      </c>
      <c r="F15" s="33">
        <f>C37*'E Balans VL '!L15/100/3.6*1000000+C37*'E Balans VL '!N15/100/3.6*1000000</f>
        <v>41.615254390003358</v>
      </c>
      <c r="G15" s="34"/>
      <c r="H15" s="33"/>
      <c r="I15" s="33"/>
      <c r="J15" s="40">
        <f>C37*'E Balans VL '!D15/100/3.6*1000000+C37*'E Balans VL '!E15/100/3.6*1000000</f>
        <v>1.4016953989447507</v>
      </c>
      <c r="K15" s="33"/>
      <c r="L15" s="33"/>
      <c r="M15" s="33"/>
      <c r="N15" s="33">
        <f>C37*'E Balans VL '!Y15/100/3.6*1000000</f>
        <v>3.7462335280253911</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439.91999999999996</v>
      </c>
      <c r="C18" s="21">
        <f>C5+C16</f>
        <v>0</v>
      </c>
      <c r="D18" s="21">
        <f>MAX((D5+D16),0)</f>
        <v>38.372883999999999</v>
      </c>
      <c r="E18" s="21">
        <f>MAX((E5+E16),0)</f>
        <v>5.7711946281367457</v>
      </c>
      <c r="F18" s="21">
        <f>MAX((F5+F16),0)</f>
        <v>222.78264140948909</v>
      </c>
      <c r="G18" s="21"/>
      <c r="H18" s="21"/>
      <c r="I18" s="21"/>
      <c r="J18" s="21">
        <f>MAX((J5+J16),0)</f>
        <v>1.4225970228159517</v>
      </c>
      <c r="K18" s="21"/>
      <c r="L18" s="21">
        <f>MAX((L5+L16),0)</f>
        <v>0</v>
      </c>
      <c r="M18" s="21"/>
      <c r="N18" s="21">
        <f>MAX((N5+N16),0)</f>
        <v>20.922478397356731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0.20375543705348317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89.636091868568315</v>
      </c>
      <c r="C22" s="23">
        <f ca="1">C18*C20</f>
        <v>0</v>
      </c>
      <c r="D22" s="23">
        <f>D18*D20</f>
        <v>7.751322568</v>
      </c>
      <c r="E22" s="23">
        <f>E18*E20</f>
        <v>1.3100611805870412</v>
      </c>
      <c r="F22" s="23">
        <f>F18*F20</f>
        <v>59.482965256333593</v>
      </c>
      <c r="G22" s="23"/>
      <c r="H22" s="23"/>
      <c r="I22" s="23"/>
      <c r="J22" s="23">
        <f>J18*J20</f>
        <v>0.50359934607684687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231.74799999999999</v>
      </c>
      <c r="C31" s="39">
        <f>IF(ISERROR(B31*3.6/1000000/'E Balans VL '!Z19*100),0,B31*3.6/1000000/'E Balans VL '!Z19*100)</f>
        <v>1.0272470434992992E-2</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208.172</v>
      </c>
      <c r="C37" s="39">
        <f>IF(ISERROR(B37*3.6/1000000/'E Balans VL '!Z15*100),0,B37*3.6/1000000/'E Balans VL '!Z15*100)</f>
        <v>1.5484605388021184E-3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2910.3110000000001</v>
      </c>
      <c r="C5" s="17">
        <f>'Eigen informatie GS &amp; warmtenet'!B60</f>
        <v>0</v>
      </c>
      <c r="D5" s="30">
        <f>IF(ISERROR(SUM(LB_lb_gas_kWh,LB_rest_gas_kWh)/1000),0,SUM(LB_lb_gas_kWh,LB_rest_gas_kWh)/1000)*0.902</f>
        <v>9.3663680000000014</v>
      </c>
      <c r="E5" s="17">
        <f>B17*'E Balans VL '!I25/3.6*1000000/100</f>
        <v>26.225594969177834</v>
      </c>
      <c r="F5" s="17">
        <f>B17*('E Balans VL '!L25/3.6*1000000+'E Balans VL '!N25/3.6*1000000)/100</f>
        <v>10905.024078546272</v>
      </c>
      <c r="G5" s="18"/>
      <c r="H5" s="17"/>
      <c r="I5" s="17"/>
      <c r="J5" s="17">
        <f>('E Balans VL '!D25+'E Balans VL '!E25)/3.6*1000000*landbouw!B17/100</f>
        <v>294.5114364898082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2910.3110000000001</v>
      </c>
      <c r="C8" s="21">
        <f>C5+C6</f>
        <v>0</v>
      </c>
      <c r="D8" s="21">
        <f>MAX((D5+D6),0)</f>
        <v>9.3663680000000014</v>
      </c>
      <c r="E8" s="21">
        <f>MAX((E5+E6),0)</f>
        <v>26.225594969177834</v>
      </c>
      <c r="F8" s="21">
        <f>MAX((F5+F6),0)</f>
        <v>10905.024078546272</v>
      </c>
      <c r="G8" s="21"/>
      <c r="H8" s="21"/>
      <c r="I8" s="21"/>
      <c r="J8" s="21">
        <f>MAX((J5+J6),0)</f>
        <v>294.5114364898082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0.20375543705348317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592.99168976655972</v>
      </c>
      <c r="C12" s="23">
        <f ca="1">C8*C10</f>
        <v>0</v>
      </c>
      <c r="D12" s="23">
        <f>D8*D10</f>
        <v>1.8920063360000003</v>
      </c>
      <c r="E12" s="23">
        <f>E8*E10</f>
        <v>5.9532100580033687</v>
      </c>
      <c r="F12" s="23">
        <f>F8*F10</f>
        <v>2911.6414289718546</v>
      </c>
      <c r="G12" s="23"/>
      <c r="H12" s="23"/>
      <c r="I12" s="23"/>
      <c r="J12" s="23">
        <f>J8*J10</f>
        <v>104.25704851739209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0.44795304228416233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168.66986835302581</v>
      </c>
      <c r="C26" s="243">
        <f>B26*'GWP N2O_CH4'!B5</f>
        <v>3542.0672354135418</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37.417349740559821</v>
      </c>
      <c r="C27" s="243">
        <f>B27*'GWP N2O_CH4'!B5</f>
        <v>785.76434455175627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6.0236084921172859</v>
      </c>
      <c r="C28" s="243">
        <f>B28*'GWP N2O_CH4'!B4</f>
        <v>1867.3186325563586</v>
      </c>
      <c r="D28" s="50"/>
    </row>
    <row r="29" spans="1:4">
      <c r="A29" s="41" t="s">
        <v>266</v>
      </c>
      <c r="B29" s="243">
        <f>B34*'ha_N2O bodem landbouw'!B4</f>
        <v>12.891268085292054</v>
      </c>
      <c r="C29" s="243">
        <f>B29*'GWP N2O_CH4'!B4</f>
        <v>3996.293106440537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3.3469730041573243E-3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1.1582319417185577E-6</v>
      </c>
      <c r="C5" s="431" t="s">
        <v>204</v>
      </c>
      <c r="D5" s="416">
        <f>SUM(D6:D11)</f>
        <v>5.442209900512588E-6</v>
      </c>
      <c r="E5" s="416">
        <f>SUM(E6:E11)</f>
        <v>5.3751401069702335E-4</v>
      </c>
      <c r="F5" s="429" t="s">
        <v>204</v>
      </c>
      <c r="G5" s="416">
        <f>SUM(G6:G11)</f>
        <v>8.231674803385064E-2</v>
      </c>
      <c r="H5" s="416">
        <f>SUM(H6:H11)</f>
        <v>1.8072224799790763E-2</v>
      </c>
      <c r="I5" s="431" t="s">
        <v>204</v>
      </c>
      <c r="J5" s="431" t="s">
        <v>204</v>
      </c>
      <c r="K5" s="431" t="s">
        <v>204</v>
      </c>
      <c r="L5" s="431" t="s">
        <v>204</v>
      </c>
      <c r="M5" s="416">
        <f>SUM(M6:M11)</f>
        <v>4.3779131952521259E-3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2.8718880716717818E-7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9.0650482572609915E-7</v>
      </c>
      <c r="E6" s="419">
        <f>vkm_GW_PW*SUMIFS(TableVerdeelsleutelVkm[LPG],TableVerdeelsleutelVkm[Voertuigtype],"Lichte voertuigen")*SUMIFS(TableECFTransport[EnergieConsumptieFactor (PJ per km)],TableECFTransport[Index],CONCATENATE($A6,"_LPG_LPG"))</f>
        <v>9.4148197426830994E-5</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1.2567136069857172E-2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3.1563230198564229E-3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6.8665188465743599E-4</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8.20879185922603E-9</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3.7003224848966283E-3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1.0887959682789267E-7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1.5941183149965291E-4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8.4721800537814187E-7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4.5357050747864888E-6</v>
      </c>
      <c r="E8" s="419">
        <f>vkm_NGW_PW*SUMIFS(TableVerdeelsleutelVkm[LPG],TableVerdeelsleutelVkm[Voertuigtype],"Lichte voertuigen")*SUMIFS(TableECFTransport[EnergieConsumptieFactor (PJ per km)],TableECFTransport[Index],CONCATENATE($A8,"_LPG_LPG"))</f>
        <v>4.4336581327019233E-4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5.6298528105125416E-2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1.4915542887167002E-2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3.1117832681916216E-3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1.5616337314011704E-8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9.75076137397142E-3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2.5001317050908815E-7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4.2006621090341542E-4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0.32173109492182156</v>
      </c>
      <c r="C14" s="21"/>
      <c r="D14" s="21">
        <f t="shared" ref="D14:M14" si="0">((D5)*10^9/3600)+D12</f>
        <v>1.5117249723646078</v>
      </c>
      <c r="E14" s="21">
        <f t="shared" si="0"/>
        <v>149.30944741583983</v>
      </c>
      <c r="F14" s="21"/>
      <c r="G14" s="21">
        <f t="shared" si="0"/>
        <v>22865.763342736289</v>
      </c>
      <c r="H14" s="21">
        <f t="shared" si="0"/>
        <v>5020.0624443863226</v>
      </c>
      <c r="I14" s="21"/>
      <c r="J14" s="21"/>
      <c r="K14" s="21"/>
      <c r="L14" s="21"/>
      <c r="M14" s="21">
        <f t="shared" si="0"/>
        <v>1216.086998681146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0.20375543705348317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6.5554459859491432E-2</v>
      </c>
      <c r="C18" s="23"/>
      <c r="D18" s="23">
        <f t="shared" ref="D18:M18" si="1">D14*D16</f>
        <v>0.30536844441765082</v>
      </c>
      <c r="E18" s="23">
        <f t="shared" si="1"/>
        <v>33.893244563395641</v>
      </c>
      <c r="F18" s="23"/>
      <c r="G18" s="23">
        <f t="shared" si="1"/>
        <v>6105.1588125105891</v>
      </c>
      <c r="H18" s="23">
        <f t="shared" si="1"/>
        <v>1249.9955486521942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9.6610345004630565E-6</v>
      </c>
      <c r="C50" s="313">
        <f t="shared" ref="C50:P50" si="2">SUM(C51:C52)</f>
        <v>0</v>
      </c>
      <c r="D50" s="313">
        <f t="shared" si="2"/>
        <v>0</v>
      </c>
      <c r="E50" s="313">
        <f t="shared" si="2"/>
        <v>0</v>
      </c>
      <c r="F50" s="313">
        <f t="shared" si="2"/>
        <v>0</v>
      </c>
      <c r="G50" s="313">
        <f t="shared" si="2"/>
        <v>2.0958644394575197E-3</v>
      </c>
      <c r="H50" s="313">
        <f t="shared" si="2"/>
        <v>0</v>
      </c>
      <c r="I50" s="313">
        <f t="shared" si="2"/>
        <v>0</v>
      </c>
      <c r="J50" s="313">
        <f t="shared" si="2"/>
        <v>0</v>
      </c>
      <c r="K50" s="313">
        <f t="shared" si="2"/>
        <v>0</v>
      </c>
      <c r="L50" s="313">
        <f t="shared" si="2"/>
        <v>0</v>
      </c>
      <c r="M50" s="313">
        <f t="shared" si="2"/>
        <v>8.9736864560330671E-5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9.6610345004630565E-6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2.0958644394575197E-3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8.9736864560330671E-5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2.6836206945730714</v>
      </c>
      <c r="C54" s="21">
        <f t="shared" ref="C54:P54" si="3">(C50)*10^9/3600</f>
        <v>0</v>
      </c>
      <c r="D54" s="21">
        <f t="shared" si="3"/>
        <v>0</v>
      </c>
      <c r="E54" s="21">
        <f t="shared" si="3"/>
        <v>0</v>
      </c>
      <c r="F54" s="21">
        <f t="shared" si="3"/>
        <v>0</v>
      </c>
      <c r="G54" s="21">
        <f t="shared" si="3"/>
        <v>582.18456651597774</v>
      </c>
      <c r="H54" s="21">
        <f t="shared" si="3"/>
        <v>0</v>
      </c>
      <c r="I54" s="21">
        <f t="shared" si="3"/>
        <v>0</v>
      </c>
      <c r="J54" s="21">
        <f t="shared" si="3"/>
        <v>0</v>
      </c>
      <c r="K54" s="21">
        <f t="shared" si="3"/>
        <v>0</v>
      </c>
      <c r="L54" s="21">
        <f t="shared" si="3"/>
        <v>0</v>
      </c>
      <c r="M54" s="21">
        <f t="shared" si="3"/>
        <v>24.926906822314074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0.20375543705348317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0.54680230750850822</v>
      </c>
      <c r="C58" s="23">
        <f t="shared" ref="C58:P58" ca="1" si="4">C54*C56</f>
        <v>0</v>
      </c>
      <c r="D58" s="23">
        <f t="shared" si="4"/>
        <v>0</v>
      </c>
      <c r="E58" s="23">
        <f t="shared" si="4"/>
        <v>0</v>
      </c>
      <c r="F58" s="23">
        <f t="shared" si="4"/>
        <v>0</v>
      </c>
      <c r="G58" s="23">
        <f t="shared" si="4"/>
        <v>155.44327925976606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1573.5113668282725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1573.5113668282725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4261.2049999999999</v>
      </c>
      <c r="D10" s="635">
        <f ca="1">tertiair!C16</f>
        <v>0</v>
      </c>
      <c r="E10" s="635">
        <f ca="1">tertiair!D16</f>
        <v>887.02950600000008</v>
      </c>
      <c r="F10" s="635">
        <f>tertiair!E16</f>
        <v>57.232152673229287</v>
      </c>
      <c r="G10" s="635">
        <f ca="1">tertiair!F16</f>
        <v>635.2188305752145</v>
      </c>
      <c r="H10" s="635">
        <f>tertiair!G16</f>
        <v>0</v>
      </c>
      <c r="I10" s="635">
        <f>tertiair!H16</f>
        <v>0</v>
      </c>
      <c r="J10" s="635">
        <f>tertiair!I16</f>
        <v>0</v>
      </c>
      <c r="K10" s="635">
        <f>tertiair!J16</f>
        <v>0</v>
      </c>
      <c r="L10" s="635">
        <f>tertiair!K16</f>
        <v>0</v>
      </c>
      <c r="M10" s="635">
        <f ca="1">tertiair!L16</f>
        <v>0</v>
      </c>
      <c r="N10" s="635">
        <f>tertiair!M16</f>
        <v>0</v>
      </c>
      <c r="O10" s="635">
        <f ca="1">tertiair!N16</f>
        <v>69.151429556826542</v>
      </c>
      <c r="P10" s="635">
        <f>tertiair!O16</f>
        <v>1.5633333333333335</v>
      </c>
      <c r="Q10" s="636">
        <f>tertiair!P16</f>
        <v>0</v>
      </c>
      <c r="R10" s="638">
        <f ca="1">SUM(C10:Q10)</f>
        <v>5911.4002521386037</v>
      </c>
      <c r="S10" s="67"/>
    </row>
    <row r="11" spans="1:19" s="441" customFormat="1">
      <c r="A11" s="749" t="s">
        <v>214</v>
      </c>
      <c r="B11" s="754"/>
      <c r="C11" s="635">
        <f>huishoudens!B8</f>
        <v>11649.55476220184</v>
      </c>
      <c r="D11" s="635">
        <f>huishoudens!C8</f>
        <v>0</v>
      </c>
      <c r="E11" s="635">
        <f>huishoudens!D8</f>
        <v>4712.4385659999998</v>
      </c>
      <c r="F11" s="635">
        <f>huishoudens!E8</f>
        <v>1011.9694927988375</v>
      </c>
      <c r="G11" s="635">
        <f>huishoudens!F8</f>
        <v>34542.967044306541</v>
      </c>
      <c r="H11" s="635">
        <f>huishoudens!G8</f>
        <v>0</v>
      </c>
      <c r="I11" s="635">
        <f>huishoudens!H8</f>
        <v>0</v>
      </c>
      <c r="J11" s="635">
        <f>huishoudens!I8</f>
        <v>0</v>
      </c>
      <c r="K11" s="635">
        <f>huishoudens!J8</f>
        <v>777.82004149617364</v>
      </c>
      <c r="L11" s="635">
        <f>huishoudens!K8</f>
        <v>0</v>
      </c>
      <c r="M11" s="635">
        <f>huishoudens!L8</f>
        <v>0</v>
      </c>
      <c r="N11" s="635">
        <f>huishoudens!M8</f>
        <v>0</v>
      </c>
      <c r="O11" s="635">
        <f>huishoudens!N8</f>
        <v>3249.5395663328527</v>
      </c>
      <c r="P11" s="635">
        <f>huishoudens!O8</f>
        <v>34.393333333333338</v>
      </c>
      <c r="Q11" s="636">
        <f>huishoudens!P8</f>
        <v>266.93333333333334</v>
      </c>
      <c r="R11" s="638">
        <f>SUM(C11:Q11)</f>
        <v>56245.616139802914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439.91999999999996</v>
      </c>
      <c r="D13" s="635">
        <f>industrie!C18</f>
        <v>0</v>
      </c>
      <c r="E13" s="635">
        <f>industrie!D18</f>
        <v>38.372883999999999</v>
      </c>
      <c r="F13" s="635">
        <f>industrie!E18</f>
        <v>5.7711946281367457</v>
      </c>
      <c r="G13" s="635">
        <f>industrie!F18</f>
        <v>222.78264140948909</v>
      </c>
      <c r="H13" s="635">
        <f>industrie!G18</f>
        <v>0</v>
      </c>
      <c r="I13" s="635">
        <f>industrie!H18</f>
        <v>0</v>
      </c>
      <c r="J13" s="635">
        <f>industrie!I18</f>
        <v>0</v>
      </c>
      <c r="K13" s="635">
        <f>industrie!J18</f>
        <v>1.4225970228159517</v>
      </c>
      <c r="L13" s="635">
        <f>industrie!K18</f>
        <v>0</v>
      </c>
      <c r="M13" s="635">
        <f>industrie!L18</f>
        <v>0</v>
      </c>
      <c r="N13" s="635">
        <f>industrie!M18</f>
        <v>0</v>
      </c>
      <c r="O13" s="635">
        <f>industrie!N18</f>
        <v>20.922478397356731</v>
      </c>
      <c r="P13" s="635">
        <f>industrie!O18</f>
        <v>0</v>
      </c>
      <c r="Q13" s="636">
        <f>industrie!P18</f>
        <v>0</v>
      </c>
      <c r="R13" s="638">
        <f>SUM(C13:Q13)</f>
        <v>729.19179545779843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16350.67976220184</v>
      </c>
      <c r="D16" s="668">
        <f t="shared" ref="D16:R16" ca="1" si="0">SUM(D9:D15)</f>
        <v>0</v>
      </c>
      <c r="E16" s="668">
        <f t="shared" ca="1" si="0"/>
        <v>5637.840956</v>
      </c>
      <c r="F16" s="668">
        <f t="shared" si="0"/>
        <v>1074.9728401002035</v>
      </c>
      <c r="G16" s="668">
        <f t="shared" ca="1" si="0"/>
        <v>35400.968516291243</v>
      </c>
      <c r="H16" s="668">
        <f t="shared" si="0"/>
        <v>0</v>
      </c>
      <c r="I16" s="668">
        <f t="shared" si="0"/>
        <v>0</v>
      </c>
      <c r="J16" s="668">
        <f t="shared" si="0"/>
        <v>0</v>
      </c>
      <c r="K16" s="668">
        <f t="shared" si="0"/>
        <v>779.24263851898957</v>
      </c>
      <c r="L16" s="668">
        <f t="shared" si="0"/>
        <v>0</v>
      </c>
      <c r="M16" s="668">
        <f t="shared" ca="1" si="0"/>
        <v>0</v>
      </c>
      <c r="N16" s="668">
        <f t="shared" si="0"/>
        <v>0</v>
      </c>
      <c r="O16" s="668">
        <f t="shared" ca="1" si="0"/>
        <v>3339.6134742870363</v>
      </c>
      <c r="P16" s="668">
        <f t="shared" si="0"/>
        <v>35.956666666666671</v>
      </c>
      <c r="Q16" s="668">
        <f t="shared" si="0"/>
        <v>266.93333333333334</v>
      </c>
      <c r="R16" s="668">
        <f t="shared" ca="1" si="0"/>
        <v>62886.208187399316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2.6836206945730714</v>
      </c>
      <c r="D19" s="635">
        <f>transport!C54</f>
        <v>0</v>
      </c>
      <c r="E19" s="635">
        <f>transport!D54</f>
        <v>0</v>
      </c>
      <c r="F19" s="635">
        <f>transport!E54</f>
        <v>0</v>
      </c>
      <c r="G19" s="635">
        <f>transport!F54</f>
        <v>0</v>
      </c>
      <c r="H19" s="635">
        <f>transport!G54</f>
        <v>582.18456651597774</v>
      </c>
      <c r="I19" s="635">
        <f>transport!H54</f>
        <v>0</v>
      </c>
      <c r="J19" s="635">
        <f>transport!I54</f>
        <v>0</v>
      </c>
      <c r="K19" s="635">
        <f>transport!J54</f>
        <v>0</v>
      </c>
      <c r="L19" s="635">
        <f>transport!K54</f>
        <v>0</v>
      </c>
      <c r="M19" s="635">
        <f>transport!L54</f>
        <v>0</v>
      </c>
      <c r="N19" s="635">
        <f>transport!M54</f>
        <v>24.926906822314074</v>
      </c>
      <c r="O19" s="635">
        <f>transport!N54</f>
        <v>0</v>
      </c>
      <c r="P19" s="635">
        <f>transport!O54</f>
        <v>0</v>
      </c>
      <c r="Q19" s="636">
        <f>transport!P54</f>
        <v>0</v>
      </c>
      <c r="R19" s="638">
        <f>SUM(C19:Q19)</f>
        <v>609.79509403286488</v>
      </c>
      <c r="S19" s="67"/>
    </row>
    <row r="20" spans="1:19" s="441" customFormat="1">
      <c r="A20" s="749" t="s">
        <v>296</v>
      </c>
      <c r="B20" s="754"/>
      <c r="C20" s="635">
        <f>transport!B14</f>
        <v>0.32173109492182156</v>
      </c>
      <c r="D20" s="635">
        <f>transport!C14</f>
        <v>0</v>
      </c>
      <c r="E20" s="635">
        <f>transport!D14</f>
        <v>1.5117249723646078</v>
      </c>
      <c r="F20" s="635">
        <f>transport!E14</f>
        <v>149.30944741583983</v>
      </c>
      <c r="G20" s="635">
        <f>transport!F14</f>
        <v>0</v>
      </c>
      <c r="H20" s="635">
        <f>transport!G14</f>
        <v>22865.763342736289</v>
      </c>
      <c r="I20" s="635">
        <f>transport!H14</f>
        <v>5020.0624443863226</v>
      </c>
      <c r="J20" s="635">
        <f>transport!I14</f>
        <v>0</v>
      </c>
      <c r="K20" s="635">
        <f>transport!J14</f>
        <v>0</v>
      </c>
      <c r="L20" s="635">
        <f>transport!K14</f>
        <v>0</v>
      </c>
      <c r="M20" s="635">
        <f>transport!L14</f>
        <v>0</v>
      </c>
      <c r="N20" s="635">
        <f>transport!M14</f>
        <v>1216.086998681146</v>
      </c>
      <c r="O20" s="635">
        <f>transport!N14</f>
        <v>0</v>
      </c>
      <c r="P20" s="635">
        <f>transport!O14</f>
        <v>0</v>
      </c>
      <c r="Q20" s="636">
        <f>transport!P14</f>
        <v>0</v>
      </c>
      <c r="R20" s="638">
        <f>SUM(C20:Q20)</f>
        <v>29253.055689286884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3.0053517894948931</v>
      </c>
      <c r="D22" s="752">
        <f t="shared" ref="D22:R22" si="1">SUM(D18:D21)</f>
        <v>0</v>
      </c>
      <c r="E22" s="752">
        <f t="shared" si="1"/>
        <v>1.5117249723646078</v>
      </c>
      <c r="F22" s="752">
        <f t="shared" si="1"/>
        <v>149.30944741583983</v>
      </c>
      <c r="G22" s="752">
        <f t="shared" si="1"/>
        <v>0</v>
      </c>
      <c r="H22" s="752">
        <f t="shared" si="1"/>
        <v>23447.947909252267</v>
      </c>
      <c r="I22" s="752">
        <f t="shared" si="1"/>
        <v>5020.0624443863226</v>
      </c>
      <c r="J22" s="752">
        <f t="shared" si="1"/>
        <v>0</v>
      </c>
      <c r="K22" s="752">
        <f t="shared" si="1"/>
        <v>0</v>
      </c>
      <c r="L22" s="752">
        <f t="shared" si="1"/>
        <v>0</v>
      </c>
      <c r="M22" s="752">
        <f t="shared" si="1"/>
        <v>0</v>
      </c>
      <c r="N22" s="752">
        <f t="shared" si="1"/>
        <v>1241.0139055034601</v>
      </c>
      <c r="O22" s="752">
        <f t="shared" si="1"/>
        <v>0</v>
      </c>
      <c r="P22" s="752">
        <f t="shared" si="1"/>
        <v>0</v>
      </c>
      <c r="Q22" s="752">
        <f t="shared" si="1"/>
        <v>0</v>
      </c>
      <c r="R22" s="752">
        <f t="shared" si="1"/>
        <v>29862.850783319751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2910.3110000000001</v>
      </c>
      <c r="D24" s="635">
        <f>+landbouw!C8</f>
        <v>0</v>
      </c>
      <c r="E24" s="635">
        <f>+landbouw!D8</f>
        <v>9.3663680000000014</v>
      </c>
      <c r="F24" s="635">
        <f>+landbouw!E8</f>
        <v>26.225594969177834</v>
      </c>
      <c r="G24" s="635">
        <f>+landbouw!F8</f>
        <v>10905.024078546272</v>
      </c>
      <c r="H24" s="635">
        <f>+landbouw!G8</f>
        <v>0</v>
      </c>
      <c r="I24" s="635">
        <f>+landbouw!H8</f>
        <v>0</v>
      </c>
      <c r="J24" s="635">
        <f>+landbouw!I8</f>
        <v>0</v>
      </c>
      <c r="K24" s="635">
        <f>+landbouw!J8</f>
        <v>294.5114364898082</v>
      </c>
      <c r="L24" s="635">
        <f>+landbouw!K8</f>
        <v>0</v>
      </c>
      <c r="M24" s="635">
        <f>+landbouw!L8</f>
        <v>0</v>
      </c>
      <c r="N24" s="635">
        <f>+landbouw!M8</f>
        <v>0</v>
      </c>
      <c r="O24" s="635">
        <f>+landbouw!N8</f>
        <v>0</v>
      </c>
      <c r="P24" s="635">
        <f>+landbouw!O8</f>
        <v>0</v>
      </c>
      <c r="Q24" s="636">
        <f>+landbouw!P8</f>
        <v>0</v>
      </c>
      <c r="R24" s="638">
        <f>SUM(C24:Q24)</f>
        <v>14145.438478005259</v>
      </c>
      <c r="S24" s="67"/>
    </row>
    <row r="25" spans="1:19" s="441" customFormat="1" ht="15" thickBot="1">
      <c r="A25" s="771" t="s">
        <v>864</v>
      </c>
      <c r="B25" s="923"/>
      <c r="C25" s="924">
        <f>IF(Onbekend_ele_kWh="---",0,Onbekend_ele_kWh)/1000+IF(REST_rest_ele_kWh="---",0,REST_rest_ele_kWh)/1000</f>
        <v>901.54899999999998</v>
      </c>
      <c r="D25" s="924"/>
      <c r="E25" s="924">
        <f>IF(onbekend_gas_kWh="---",0,onbekend_gas_kWh)/1000+IF(REST_rest_gas_kWh="---",0,REST_rest_gas_kWh)/1000</f>
        <v>108.86799999999999</v>
      </c>
      <c r="F25" s="924"/>
      <c r="G25" s="924"/>
      <c r="H25" s="924"/>
      <c r="I25" s="924"/>
      <c r="J25" s="924"/>
      <c r="K25" s="924"/>
      <c r="L25" s="924"/>
      <c r="M25" s="924"/>
      <c r="N25" s="924"/>
      <c r="O25" s="924"/>
      <c r="P25" s="924"/>
      <c r="Q25" s="925"/>
      <c r="R25" s="638">
        <f>SUM(C25:Q25)</f>
        <v>1010.4169999999999</v>
      </c>
      <c r="S25" s="67"/>
    </row>
    <row r="26" spans="1:19" s="441" customFormat="1" ht="15.75" thickBot="1">
      <c r="A26" s="641" t="s">
        <v>865</v>
      </c>
      <c r="B26" s="757"/>
      <c r="C26" s="752">
        <f>SUM(C24:C25)</f>
        <v>3811.86</v>
      </c>
      <c r="D26" s="752">
        <f t="shared" ref="D26:R26" si="2">SUM(D24:D25)</f>
        <v>0</v>
      </c>
      <c r="E26" s="752">
        <f t="shared" si="2"/>
        <v>118.23436799999999</v>
      </c>
      <c r="F26" s="752">
        <f t="shared" si="2"/>
        <v>26.225594969177834</v>
      </c>
      <c r="G26" s="752">
        <f t="shared" si="2"/>
        <v>10905.024078546272</v>
      </c>
      <c r="H26" s="752">
        <f t="shared" si="2"/>
        <v>0</v>
      </c>
      <c r="I26" s="752">
        <f t="shared" si="2"/>
        <v>0</v>
      </c>
      <c r="J26" s="752">
        <f t="shared" si="2"/>
        <v>0</v>
      </c>
      <c r="K26" s="752">
        <f t="shared" si="2"/>
        <v>294.5114364898082</v>
      </c>
      <c r="L26" s="752">
        <f t="shared" si="2"/>
        <v>0</v>
      </c>
      <c r="M26" s="752">
        <f t="shared" si="2"/>
        <v>0</v>
      </c>
      <c r="N26" s="752">
        <f t="shared" si="2"/>
        <v>0</v>
      </c>
      <c r="O26" s="752">
        <f t="shared" si="2"/>
        <v>0</v>
      </c>
      <c r="P26" s="752">
        <f t="shared" si="2"/>
        <v>0</v>
      </c>
      <c r="Q26" s="752">
        <f t="shared" si="2"/>
        <v>0</v>
      </c>
      <c r="R26" s="752">
        <f t="shared" si="2"/>
        <v>15155.855478005258</v>
      </c>
      <c r="S26" s="67"/>
    </row>
    <row r="27" spans="1:19" s="441" customFormat="1" ht="17.25" thickTop="1" thickBot="1">
      <c r="A27" s="642" t="s">
        <v>109</v>
      </c>
      <c r="B27" s="744"/>
      <c r="C27" s="643">
        <f ca="1">C22+C16+C26</f>
        <v>20165.545113991335</v>
      </c>
      <c r="D27" s="643">
        <f t="shared" ref="D27:R27" ca="1" si="3">D22+D16+D26</f>
        <v>0</v>
      </c>
      <c r="E27" s="643">
        <f t="shared" ca="1" si="3"/>
        <v>5757.5870489723648</v>
      </c>
      <c r="F27" s="643">
        <f t="shared" si="3"/>
        <v>1250.507882485221</v>
      </c>
      <c r="G27" s="643">
        <f t="shared" ca="1" si="3"/>
        <v>46305.992594837517</v>
      </c>
      <c r="H27" s="643">
        <f t="shared" si="3"/>
        <v>23447.947909252267</v>
      </c>
      <c r="I27" s="643">
        <f t="shared" si="3"/>
        <v>5020.0624443863226</v>
      </c>
      <c r="J27" s="643">
        <f t="shared" si="3"/>
        <v>0</v>
      </c>
      <c r="K27" s="643">
        <f t="shared" si="3"/>
        <v>1073.7540750087978</v>
      </c>
      <c r="L27" s="643">
        <f t="shared" si="3"/>
        <v>0</v>
      </c>
      <c r="M27" s="643">
        <f t="shared" ca="1" si="3"/>
        <v>0</v>
      </c>
      <c r="N27" s="643">
        <f t="shared" si="3"/>
        <v>1241.0139055034601</v>
      </c>
      <c r="O27" s="643">
        <f t="shared" ca="1" si="3"/>
        <v>3339.6134742870363</v>
      </c>
      <c r="P27" s="643">
        <f t="shared" si="3"/>
        <v>35.956666666666671</v>
      </c>
      <c r="Q27" s="643">
        <f t="shared" si="3"/>
        <v>266.93333333333334</v>
      </c>
      <c r="R27" s="643">
        <f t="shared" ca="1" si="3"/>
        <v>107904.91444872433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868.24368714948787</v>
      </c>
      <c r="D40" s="635">
        <f ca="1">tertiair!C20</f>
        <v>0</v>
      </c>
      <c r="E40" s="635">
        <f ca="1">tertiair!D20</f>
        <v>179.17996021200003</v>
      </c>
      <c r="F40" s="635">
        <f>tertiair!E20</f>
        <v>12.991698656823049</v>
      </c>
      <c r="G40" s="635">
        <f ca="1">tertiair!F20</f>
        <v>169.60342776358229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1230.0187737818931</v>
      </c>
    </row>
    <row r="41" spans="1:18">
      <c r="A41" s="762" t="s">
        <v>214</v>
      </c>
      <c r="B41" s="769"/>
      <c r="C41" s="635">
        <f ca="1">huishoudens!B12</f>
        <v>2373.6601220509224</v>
      </c>
      <c r="D41" s="635">
        <f ca="1">huishoudens!C12</f>
        <v>0</v>
      </c>
      <c r="E41" s="635">
        <f>huishoudens!D12</f>
        <v>951.91259033200004</v>
      </c>
      <c r="F41" s="635">
        <f>huishoudens!E12</f>
        <v>229.71707486533612</v>
      </c>
      <c r="G41" s="635">
        <f>huishoudens!F12</f>
        <v>9222.9722008298468</v>
      </c>
      <c r="H41" s="635">
        <f>huishoudens!G12</f>
        <v>0</v>
      </c>
      <c r="I41" s="635">
        <f>huishoudens!H12</f>
        <v>0</v>
      </c>
      <c r="J41" s="635">
        <f>huishoudens!I12</f>
        <v>0</v>
      </c>
      <c r="K41" s="635">
        <f>huishoudens!J12</f>
        <v>275.34829468964546</v>
      </c>
      <c r="L41" s="635">
        <f>huishoudens!K12</f>
        <v>0</v>
      </c>
      <c r="M41" s="635">
        <f>huishoudens!L12</f>
        <v>0</v>
      </c>
      <c r="N41" s="635">
        <f>huishoudens!M12</f>
        <v>0</v>
      </c>
      <c r="O41" s="635">
        <f>huishoudens!N12</f>
        <v>0</v>
      </c>
      <c r="P41" s="635">
        <f>huishoudens!O12</f>
        <v>0</v>
      </c>
      <c r="Q41" s="710">
        <f>huishoudens!P12</f>
        <v>0</v>
      </c>
      <c r="R41" s="790">
        <f t="shared" ca="1" si="4"/>
        <v>13053.610282767751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89.636091868568315</v>
      </c>
      <c r="D43" s="635">
        <f ca="1">industrie!C22</f>
        <v>0</v>
      </c>
      <c r="E43" s="635">
        <f>industrie!D22</f>
        <v>7.751322568</v>
      </c>
      <c r="F43" s="635">
        <f>industrie!E22</f>
        <v>1.3100611805870412</v>
      </c>
      <c r="G43" s="635">
        <f>industrie!F22</f>
        <v>59.482965256333593</v>
      </c>
      <c r="H43" s="635">
        <f>industrie!G22</f>
        <v>0</v>
      </c>
      <c r="I43" s="635">
        <f>industrie!H22</f>
        <v>0</v>
      </c>
      <c r="J43" s="635">
        <f>industrie!I22</f>
        <v>0</v>
      </c>
      <c r="K43" s="635">
        <f>industrie!J22</f>
        <v>0.50359934607684687</v>
      </c>
      <c r="L43" s="635">
        <f>industrie!K22</f>
        <v>0</v>
      </c>
      <c r="M43" s="635">
        <f>industrie!L22</f>
        <v>0</v>
      </c>
      <c r="N43" s="635">
        <f>industrie!M22</f>
        <v>0</v>
      </c>
      <c r="O43" s="635">
        <f>industrie!N22</f>
        <v>0</v>
      </c>
      <c r="P43" s="635">
        <f>industrie!O22</f>
        <v>0</v>
      </c>
      <c r="Q43" s="710">
        <f>industrie!P22</f>
        <v>0</v>
      </c>
      <c r="R43" s="789">
        <f t="shared" ca="1" si="4"/>
        <v>158.68404021956579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3331.5399010689785</v>
      </c>
      <c r="D46" s="668">
        <f t="shared" ref="D46:Q46" ca="1" si="5">SUM(D39:D45)</f>
        <v>0</v>
      </c>
      <c r="E46" s="668">
        <f t="shared" ca="1" si="5"/>
        <v>1138.843873112</v>
      </c>
      <c r="F46" s="668">
        <f t="shared" si="5"/>
        <v>244.0188347027462</v>
      </c>
      <c r="G46" s="668">
        <f t="shared" ca="1" si="5"/>
        <v>9452.0585938497625</v>
      </c>
      <c r="H46" s="668">
        <f t="shared" si="5"/>
        <v>0</v>
      </c>
      <c r="I46" s="668">
        <f t="shared" si="5"/>
        <v>0</v>
      </c>
      <c r="J46" s="668">
        <f t="shared" si="5"/>
        <v>0</v>
      </c>
      <c r="K46" s="668">
        <f t="shared" si="5"/>
        <v>275.8518940357223</v>
      </c>
      <c r="L46" s="668">
        <f t="shared" si="5"/>
        <v>0</v>
      </c>
      <c r="M46" s="668">
        <f t="shared" ca="1" si="5"/>
        <v>0</v>
      </c>
      <c r="N46" s="668">
        <f t="shared" si="5"/>
        <v>0</v>
      </c>
      <c r="O46" s="668">
        <f t="shared" ca="1" si="5"/>
        <v>0</v>
      </c>
      <c r="P46" s="668">
        <f t="shared" si="5"/>
        <v>0</v>
      </c>
      <c r="Q46" s="668">
        <f t="shared" si="5"/>
        <v>0</v>
      </c>
      <c r="R46" s="668">
        <f ca="1">SUM(R39:R45)</f>
        <v>14442.31309676921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0.54680230750850822</v>
      </c>
      <c r="D49" s="635">
        <f ca="1">transport!C58</f>
        <v>0</v>
      </c>
      <c r="E49" s="635">
        <f>transport!D58</f>
        <v>0</v>
      </c>
      <c r="F49" s="635">
        <f>transport!E58</f>
        <v>0</v>
      </c>
      <c r="G49" s="635">
        <f>transport!F58</f>
        <v>0</v>
      </c>
      <c r="H49" s="635">
        <f>transport!G58</f>
        <v>155.44327925976606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155.99008156727456</v>
      </c>
    </row>
    <row r="50" spans="1:18">
      <c r="A50" s="765" t="s">
        <v>296</v>
      </c>
      <c r="B50" s="775"/>
      <c r="C50" s="930">
        <f ca="1">transport!B18</f>
        <v>6.5554459859491432E-2</v>
      </c>
      <c r="D50" s="930">
        <f>transport!C18</f>
        <v>0</v>
      </c>
      <c r="E50" s="930">
        <f>transport!D18</f>
        <v>0.30536844441765082</v>
      </c>
      <c r="F50" s="930">
        <f>transport!E18</f>
        <v>33.893244563395641</v>
      </c>
      <c r="G50" s="930">
        <f>transport!F18</f>
        <v>0</v>
      </c>
      <c r="H50" s="930">
        <f>transport!G18</f>
        <v>6105.1588125105891</v>
      </c>
      <c r="I50" s="930">
        <f>transport!H18</f>
        <v>1249.9955486521942</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7389.4185286304555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0.61235676736799971</v>
      </c>
      <c r="D52" s="668">
        <f t="shared" ref="D52:Q52" ca="1" si="6">SUM(D48:D51)</f>
        <v>0</v>
      </c>
      <c r="E52" s="668">
        <f t="shared" si="6"/>
        <v>0.30536844441765082</v>
      </c>
      <c r="F52" s="668">
        <f t="shared" si="6"/>
        <v>33.893244563395641</v>
      </c>
      <c r="G52" s="668">
        <f t="shared" si="6"/>
        <v>0</v>
      </c>
      <c r="H52" s="668">
        <f t="shared" si="6"/>
        <v>6260.6020917703554</v>
      </c>
      <c r="I52" s="668">
        <f t="shared" si="6"/>
        <v>1249.9955486521942</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7545.40861019773</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592.99168976655972</v>
      </c>
      <c r="D54" s="930">
        <f ca="1">+landbouw!C12</f>
        <v>0</v>
      </c>
      <c r="E54" s="930">
        <f>+landbouw!D12</f>
        <v>1.8920063360000003</v>
      </c>
      <c r="F54" s="930">
        <f>+landbouw!E12</f>
        <v>5.9532100580033687</v>
      </c>
      <c r="G54" s="930">
        <f>+landbouw!F12</f>
        <v>2911.6414289718546</v>
      </c>
      <c r="H54" s="930">
        <f>+landbouw!G12</f>
        <v>0</v>
      </c>
      <c r="I54" s="930">
        <f>+landbouw!H12</f>
        <v>0</v>
      </c>
      <c r="J54" s="930">
        <f>+landbouw!I12</f>
        <v>0</v>
      </c>
      <c r="K54" s="930">
        <f>+landbouw!J12</f>
        <v>104.25704851739209</v>
      </c>
      <c r="L54" s="930">
        <f>+landbouw!K12</f>
        <v>0</v>
      </c>
      <c r="M54" s="930">
        <f>+landbouw!L12</f>
        <v>0</v>
      </c>
      <c r="N54" s="930">
        <f>+landbouw!M12</f>
        <v>0</v>
      </c>
      <c r="O54" s="930">
        <f>+landbouw!N12</f>
        <v>0</v>
      </c>
      <c r="P54" s="930">
        <f>+landbouw!O12</f>
        <v>0</v>
      </c>
      <c r="Q54" s="931">
        <f>+landbouw!P12</f>
        <v>0</v>
      </c>
      <c r="R54" s="667">
        <f ca="1">SUM(C54:Q54)</f>
        <v>3616.7353836498096</v>
      </c>
    </row>
    <row r="55" spans="1:18" ht="15" thickBot="1">
      <c r="A55" s="765" t="s">
        <v>864</v>
      </c>
      <c r="B55" s="775"/>
      <c r="C55" s="930">
        <f ca="1">C25*'EF ele_warmte'!B12</f>
        <v>183.69551052013071</v>
      </c>
      <c r="D55" s="930"/>
      <c r="E55" s="930">
        <f>E25*EF_CO2_aardgas</f>
        <v>21.991336</v>
      </c>
      <c r="F55" s="930"/>
      <c r="G55" s="930"/>
      <c r="H55" s="930"/>
      <c r="I55" s="930"/>
      <c r="J55" s="930"/>
      <c r="K55" s="930"/>
      <c r="L55" s="930"/>
      <c r="M55" s="930"/>
      <c r="N55" s="930"/>
      <c r="O55" s="930"/>
      <c r="P55" s="930"/>
      <c r="Q55" s="931"/>
      <c r="R55" s="667">
        <f ca="1">SUM(C55:Q55)</f>
        <v>205.6868465201307</v>
      </c>
    </row>
    <row r="56" spans="1:18" ht="15.75" thickBot="1">
      <c r="A56" s="763" t="s">
        <v>865</v>
      </c>
      <c r="B56" s="776"/>
      <c r="C56" s="668">
        <f ca="1">SUM(C54:C55)</f>
        <v>776.68720028669043</v>
      </c>
      <c r="D56" s="668">
        <f t="shared" ref="D56:Q56" ca="1" si="7">SUM(D54:D55)</f>
        <v>0</v>
      </c>
      <c r="E56" s="668">
        <f t="shared" si="7"/>
        <v>23.883342336000002</v>
      </c>
      <c r="F56" s="668">
        <f t="shared" si="7"/>
        <v>5.9532100580033687</v>
      </c>
      <c r="G56" s="668">
        <f t="shared" si="7"/>
        <v>2911.6414289718546</v>
      </c>
      <c r="H56" s="668">
        <f t="shared" si="7"/>
        <v>0</v>
      </c>
      <c r="I56" s="668">
        <f t="shared" si="7"/>
        <v>0</v>
      </c>
      <c r="J56" s="668">
        <f t="shared" si="7"/>
        <v>0</v>
      </c>
      <c r="K56" s="668">
        <f t="shared" si="7"/>
        <v>104.25704851739209</v>
      </c>
      <c r="L56" s="668">
        <f t="shared" si="7"/>
        <v>0</v>
      </c>
      <c r="M56" s="668">
        <f t="shared" si="7"/>
        <v>0</v>
      </c>
      <c r="N56" s="668">
        <f t="shared" si="7"/>
        <v>0</v>
      </c>
      <c r="O56" s="668">
        <f t="shared" si="7"/>
        <v>0</v>
      </c>
      <c r="P56" s="668">
        <f t="shared" si="7"/>
        <v>0</v>
      </c>
      <c r="Q56" s="669">
        <f t="shared" si="7"/>
        <v>0</v>
      </c>
      <c r="R56" s="670">
        <f ca="1">SUM(R54:R55)</f>
        <v>3822.4222301699401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4108.8394581230368</v>
      </c>
      <c r="D61" s="676">
        <f t="shared" ref="D61:Q61" ca="1" si="8">D46+D52+D56</f>
        <v>0</v>
      </c>
      <c r="E61" s="676">
        <f t="shared" ca="1" si="8"/>
        <v>1163.0325838924175</v>
      </c>
      <c r="F61" s="676">
        <f t="shared" si="8"/>
        <v>283.86528932414524</v>
      </c>
      <c r="G61" s="676">
        <f t="shared" ca="1" si="8"/>
        <v>12363.700022821617</v>
      </c>
      <c r="H61" s="676">
        <f t="shared" si="8"/>
        <v>6260.6020917703554</v>
      </c>
      <c r="I61" s="676">
        <f t="shared" si="8"/>
        <v>1249.9955486521942</v>
      </c>
      <c r="J61" s="676">
        <f t="shared" si="8"/>
        <v>0</v>
      </c>
      <c r="K61" s="676">
        <f t="shared" si="8"/>
        <v>380.10894255311439</v>
      </c>
      <c r="L61" s="676">
        <f t="shared" si="8"/>
        <v>0</v>
      </c>
      <c r="M61" s="676">
        <f t="shared" ca="1" si="8"/>
        <v>0</v>
      </c>
      <c r="N61" s="676">
        <f t="shared" si="8"/>
        <v>0</v>
      </c>
      <c r="O61" s="676">
        <f t="shared" ca="1" si="8"/>
        <v>0</v>
      </c>
      <c r="P61" s="676">
        <f t="shared" si="8"/>
        <v>0</v>
      </c>
      <c r="Q61" s="676">
        <f t="shared" si="8"/>
        <v>0</v>
      </c>
      <c r="R61" s="676">
        <f ca="1">R46+R52+R56</f>
        <v>25810.143937136883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0.20375543705348317</v>
      </c>
      <c r="D63" s="720">
        <f t="shared" ca="1" si="9"/>
        <v>0</v>
      </c>
      <c r="E63" s="932">
        <f t="shared" ca="1" si="9"/>
        <v>0.20199999999999996</v>
      </c>
      <c r="F63" s="720">
        <f t="shared" si="9"/>
        <v>0.22700000000000006</v>
      </c>
      <c r="G63" s="720">
        <f t="shared" ca="1" si="9"/>
        <v>0.26700000000000002</v>
      </c>
      <c r="H63" s="720">
        <f t="shared" si="9"/>
        <v>0.26700000000000002</v>
      </c>
      <c r="I63" s="720">
        <f t="shared" si="9"/>
        <v>0.24899999999999997</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1573.5113668282725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1573.5113668282725</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11649.55476220184</v>
      </c>
      <c r="C4" s="445">
        <f>huishoudens!C8</f>
        <v>0</v>
      </c>
      <c r="D4" s="445">
        <f>huishoudens!D8</f>
        <v>4712.4385659999998</v>
      </c>
      <c r="E4" s="445">
        <f>huishoudens!E8</f>
        <v>1011.9694927988375</v>
      </c>
      <c r="F4" s="445">
        <f>huishoudens!F8</f>
        <v>34542.967044306541</v>
      </c>
      <c r="G4" s="445">
        <f>huishoudens!G8</f>
        <v>0</v>
      </c>
      <c r="H4" s="445">
        <f>huishoudens!H8</f>
        <v>0</v>
      </c>
      <c r="I4" s="445">
        <f>huishoudens!I8</f>
        <v>0</v>
      </c>
      <c r="J4" s="445">
        <f>huishoudens!J8</f>
        <v>777.82004149617364</v>
      </c>
      <c r="K4" s="445">
        <f>huishoudens!K8</f>
        <v>0</v>
      </c>
      <c r="L4" s="445">
        <f>huishoudens!L8</f>
        <v>0</v>
      </c>
      <c r="M4" s="445">
        <f>huishoudens!M8</f>
        <v>0</v>
      </c>
      <c r="N4" s="445">
        <f>huishoudens!N8</f>
        <v>3249.5395663328527</v>
      </c>
      <c r="O4" s="445">
        <f>huishoudens!O8</f>
        <v>34.393333333333338</v>
      </c>
      <c r="P4" s="446">
        <f>huishoudens!P8</f>
        <v>266.93333333333334</v>
      </c>
      <c r="Q4" s="447">
        <f>SUM(B4:P4)</f>
        <v>56245.616139802914</v>
      </c>
    </row>
    <row r="5" spans="1:17">
      <c r="A5" s="444" t="s">
        <v>149</v>
      </c>
      <c r="B5" s="445">
        <f ca="1">tertiair!B16</f>
        <v>3897.518</v>
      </c>
      <c r="C5" s="445">
        <f ca="1">tertiair!C16</f>
        <v>0</v>
      </c>
      <c r="D5" s="445">
        <f ca="1">tertiair!D16</f>
        <v>887.02950600000008</v>
      </c>
      <c r="E5" s="445">
        <f>tertiair!E16</f>
        <v>57.232152673229287</v>
      </c>
      <c r="F5" s="445">
        <f ca="1">tertiair!F16</f>
        <v>635.2188305752145</v>
      </c>
      <c r="G5" s="445">
        <f>tertiair!G16</f>
        <v>0</v>
      </c>
      <c r="H5" s="445">
        <f>tertiair!H16</f>
        <v>0</v>
      </c>
      <c r="I5" s="445">
        <f>tertiair!I16</f>
        <v>0</v>
      </c>
      <c r="J5" s="445">
        <f>tertiair!J16</f>
        <v>0</v>
      </c>
      <c r="K5" s="445">
        <f>tertiair!K16</f>
        <v>0</v>
      </c>
      <c r="L5" s="445">
        <f ca="1">tertiair!L16</f>
        <v>0</v>
      </c>
      <c r="M5" s="445">
        <f>tertiair!M16</f>
        <v>0</v>
      </c>
      <c r="N5" s="445">
        <f ca="1">tertiair!N16</f>
        <v>69.151429556826542</v>
      </c>
      <c r="O5" s="445">
        <f>tertiair!O16</f>
        <v>1.5633333333333335</v>
      </c>
      <c r="P5" s="446">
        <f>tertiair!P16</f>
        <v>0</v>
      </c>
      <c r="Q5" s="444">
        <f t="shared" ref="Q5:Q14" ca="1" si="0">SUM(B5:P5)</f>
        <v>5547.7132521386038</v>
      </c>
    </row>
    <row r="6" spans="1:17">
      <c r="A6" s="444" t="s">
        <v>187</v>
      </c>
      <c r="B6" s="445">
        <f>'openbare verlichting'!B8</f>
        <v>363.68700000000001</v>
      </c>
      <c r="C6" s="445"/>
      <c r="D6" s="445"/>
      <c r="E6" s="445"/>
      <c r="F6" s="445"/>
      <c r="G6" s="445"/>
      <c r="H6" s="445"/>
      <c r="I6" s="445"/>
      <c r="J6" s="445"/>
      <c r="K6" s="445"/>
      <c r="L6" s="445"/>
      <c r="M6" s="445"/>
      <c r="N6" s="445"/>
      <c r="O6" s="445"/>
      <c r="P6" s="446"/>
      <c r="Q6" s="444">
        <f t="shared" si="0"/>
        <v>363.68700000000001</v>
      </c>
    </row>
    <row r="7" spans="1:17">
      <c r="A7" s="444" t="s">
        <v>105</v>
      </c>
      <c r="B7" s="445">
        <f>landbouw!B8</f>
        <v>2910.3110000000001</v>
      </c>
      <c r="C7" s="445">
        <f>landbouw!C8</f>
        <v>0</v>
      </c>
      <c r="D7" s="445">
        <f>landbouw!D8</f>
        <v>9.3663680000000014</v>
      </c>
      <c r="E7" s="445">
        <f>landbouw!E8</f>
        <v>26.225594969177834</v>
      </c>
      <c r="F7" s="445">
        <f>landbouw!F8</f>
        <v>10905.024078546272</v>
      </c>
      <c r="G7" s="445">
        <f>landbouw!G8</f>
        <v>0</v>
      </c>
      <c r="H7" s="445">
        <f>landbouw!H8</f>
        <v>0</v>
      </c>
      <c r="I7" s="445">
        <f>landbouw!I8</f>
        <v>0</v>
      </c>
      <c r="J7" s="445">
        <f>landbouw!J8</f>
        <v>294.5114364898082</v>
      </c>
      <c r="K7" s="445">
        <f>landbouw!K8</f>
        <v>0</v>
      </c>
      <c r="L7" s="445">
        <f>landbouw!L8</f>
        <v>0</v>
      </c>
      <c r="M7" s="445">
        <f>landbouw!M8</f>
        <v>0</v>
      </c>
      <c r="N7" s="445">
        <f>landbouw!N8</f>
        <v>0</v>
      </c>
      <c r="O7" s="445">
        <f>landbouw!O8</f>
        <v>0</v>
      </c>
      <c r="P7" s="446">
        <f>landbouw!P8</f>
        <v>0</v>
      </c>
      <c r="Q7" s="444">
        <f t="shared" si="0"/>
        <v>14145.438478005259</v>
      </c>
    </row>
    <row r="8" spans="1:17">
      <c r="A8" s="444" t="s">
        <v>613</v>
      </c>
      <c r="B8" s="445">
        <f>industrie!B18</f>
        <v>439.91999999999996</v>
      </c>
      <c r="C8" s="445">
        <f>industrie!C18</f>
        <v>0</v>
      </c>
      <c r="D8" s="445">
        <f>industrie!D18</f>
        <v>38.372883999999999</v>
      </c>
      <c r="E8" s="445">
        <f>industrie!E18</f>
        <v>5.7711946281367457</v>
      </c>
      <c r="F8" s="445">
        <f>industrie!F18</f>
        <v>222.78264140948909</v>
      </c>
      <c r="G8" s="445">
        <f>industrie!G18</f>
        <v>0</v>
      </c>
      <c r="H8" s="445">
        <f>industrie!H18</f>
        <v>0</v>
      </c>
      <c r="I8" s="445">
        <f>industrie!I18</f>
        <v>0</v>
      </c>
      <c r="J8" s="445">
        <f>industrie!J18</f>
        <v>1.4225970228159517</v>
      </c>
      <c r="K8" s="445">
        <f>industrie!K18</f>
        <v>0</v>
      </c>
      <c r="L8" s="445">
        <f>industrie!L18</f>
        <v>0</v>
      </c>
      <c r="M8" s="445">
        <f>industrie!M18</f>
        <v>0</v>
      </c>
      <c r="N8" s="445">
        <f>industrie!N18</f>
        <v>20.922478397356731</v>
      </c>
      <c r="O8" s="445">
        <f>industrie!O18</f>
        <v>0</v>
      </c>
      <c r="P8" s="446">
        <f>industrie!P18</f>
        <v>0</v>
      </c>
      <c r="Q8" s="444">
        <f t="shared" si="0"/>
        <v>729.19179545779843</v>
      </c>
    </row>
    <row r="9" spans="1:17" s="450" customFormat="1">
      <c r="A9" s="448" t="s">
        <v>555</v>
      </c>
      <c r="B9" s="449">
        <f>transport!B14</f>
        <v>0.32173109492182156</v>
      </c>
      <c r="C9" s="449">
        <f>transport!C14</f>
        <v>0</v>
      </c>
      <c r="D9" s="449">
        <f>transport!D14</f>
        <v>1.5117249723646078</v>
      </c>
      <c r="E9" s="449">
        <f>transport!E14</f>
        <v>149.30944741583983</v>
      </c>
      <c r="F9" s="449">
        <f>transport!F14</f>
        <v>0</v>
      </c>
      <c r="G9" s="449">
        <f>transport!G14</f>
        <v>22865.763342736289</v>
      </c>
      <c r="H9" s="449">
        <f>transport!H14</f>
        <v>5020.0624443863226</v>
      </c>
      <c r="I9" s="449">
        <f>transport!I14</f>
        <v>0</v>
      </c>
      <c r="J9" s="449">
        <f>transport!J14</f>
        <v>0</v>
      </c>
      <c r="K9" s="449">
        <f>transport!K14</f>
        <v>0</v>
      </c>
      <c r="L9" s="449">
        <f>transport!L14</f>
        <v>0</v>
      </c>
      <c r="M9" s="449">
        <f>transport!M14</f>
        <v>1216.086998681146</v>
      </c>
      <c r="N9" s="449">
        <f>transport!N14</f>
        <v>0</v>
      </c>
      <c r="O9" s="449">
        <f>transport!O14</f>
        <v>0</v>
      </c>
      <c r="P9" s="449">
        <f>transport!P14</f>
        <v>0</v>
      </c>
      <c r="Q9" s="448">
        <f>SUM(B9:P9)</f>
        <v>29253.055689286884</v>
      </c>
    </row>
    <row r="10" spans="1:17">
      <c r="A10" s="444" t="s">
        <v>545</v>
      </c>
      <c r="B10" s="445">
        <f>transport!B54</f>
        <v>2.6836206945730714</v>
      </c>
      <c r="C10" s="445">
        <f>transport!C54</f>
        <v>0</v>
      </c>
      <c r="D10" s="445">
        <f>transport!D54</f>
        <v>0</v>
      </c>
      <c r="E10" s="445">
        <f>transport!E54</f>
        <v>0</v>
      </c>
      <c r="F10" s="445">
        <f>transport!F54</f>
        <v>0</v>
      </c>
      <c r="G10" s="445">
        <f>transport!G54</f>
        <v>582.18456651597774</v>
      </c>
      <c r="H10" s="445">
        <f>transport!H54</f>
        <v>0</v>
      </c>
      <c r="I10" s="445">
        <f>transport!I54</f>
        <v>0</v>
      </c>
      <c r="J10" s="445">
        <f>transport!J54</f>
        <v>0</v>
      </c>
      <c r="K10" s="445">
        <f>transport!K54</f>
        <v>0</v>
      </c>
      <c r="L10" s="445">
        <f>transport!L54</f>
        <v>0</v>
      </c>
      <c r="M10" s="445">
        <f>transport!M54</f>
        <v>24.926906822314074</v>
      </c>
      <c r="N10" s="445">
        <f>transport!N54</f>
        <v>0</v>
      </c>
      <c r="O10" s="445">
        <f>transport!O54</f>
        <v>0</v>
      </c>
      <c r="P10" s="446">
        <f>transport!P54</f>
        <v>0</v>
      </c>
      <c r="Q10" s="444">
        <f t="shared" si="0"/>
        <v>609.79509403286488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901.54899999999998</v>
      </c>
      <c r="C14" s="452"/>
      <c r="D14" s="452">
        <f>'SEAP template'!E25</f>
        <v>108.86799999999999</v>
      </c>
      <c r="E14" s="452"/>
      <c r="F14" s="452"/>
      <c r="G14" s="452"/>
      <c r="H14" s="452"/>
      <c r="I14" s="452"/>
      <c r="J14" s="452"/>
      <c r="K14" s="452"/>
      <c r="L14" s="452"/>
      <c r="M14" s="452"/>
      <c r="N14" s="452"/>
      <c r="O14" s="452"/>
      <c r="P14" s="453"/>
      <c r="Q14" s="444">
        <f t="shared" si="0"/>
        <v>1010.4169999999999</v>
      </c>
    </row>
    <row r="15" spans="1:17" s="457" customFormat="1">
      <c r="A15" s="454" t="s">
        <v>549</v>
      </c>
      <c r="B15" s="455">
        <f ca="1">SUM(B4:B14)</f>
        <v>20165.545113991335</v>
      </c>
      <c r="C15" s="455">
        <f t="shared" ref="C15:Q15" ca="1" si="1">SUM(C4:C14)</f>
        <v>0</v>
      </c>
      <c r="D15" s="455">
        <f t="shared" ca="1" si="1"/>
        <v>5757.5870489723648</v>
      </c>
      <c r="E15" s="455">
        <f t="shared" si="1"/>
        <v>1250.5078824852212</v>
      </c>
      <c r="F15" s="455">
        <f t="shared" ca="1" si="1"/>
        <v>46305.992594837517</v>
      </c>
      <c r="G15" s="455">
        <f t="shared" si="1"/>
        <v>23447.947909252267</v>
      </c>
      <c r="H15" s="455">
        <f t="shared" si="1"/>
        <v>5020.0624443863226</v>
      </c>
      <c r="I15" s="455">
        <f t="shared" si="1"/>
        <v>0</v>
      </c>
      <c r="J15" s="455">
        <f t="shared" si="1"/>
        <v>1073.7540750087978</v>
      </c>
      <c r="K15" s="455">
        <f t="shared" si="1"/>
        <v>0</v>
      </c>
      <c r="L15" s="455">
        <f t="shared" ca="1" si="1"/>
        <v>0</v>
      </c>
      <c r="M15" s="455">
        <f t="shared" si="1"/>
        <v>1241.0139055034601</v>
      </c>
      <c r="N15" s="455">
        <f t="shared" ca="1" si="1"/>
        <v>3339.6134742870363</v>
      </c>
      <c r="O15" s="455">
        <f t="shared" si="1"/>
        <v>35.956666666666671</v>
      </c>
      <c r="P15" s="455">
        <f t="shared" si="1"/>
        <v>266.93333333333334</v>
      </c>
      <c r="Q15" s="455">
        <f t="shared" ca="1" si="1"/>
        <v>107904.91444872432</v>
      </c>
    </row>
    <row r="17" spans="1:17">
      <c r="A17" s="458" t="s">
        <v>550</v>
      </c>
      <c r="B17" s="725">
        <f ca="1">huishoudens!B10</f>
        <v>0.20375543705348317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2373.6601220509224</v>
      </c>
      <c r="C22" s="445">
        <f t="shared" ref="C22:C32" ca="1" si="3">C4*$C$17</f>
        <v>0</v>
      </c>
      <c r="D22" s="445">
        <f t="shared" ref="D22:D32" si="4">D4*$D$17</f>
        <v>951.91259033200004</v>
      </c>
      <c r="E22" s="445">
        <f t="shared" ref="E22:E32" si="5">E4*$E$17</f>
        <v>229.71707486533612</v>
      </c>
      <c r="F22" s="445">
        <f t="shared" ref="F22:F32" si="6">F4*$F$17</f>
        <v>9222.9722008298468</v>
      </c>
      <c r="G22" s="445">
        <f t="shared" ref="G22:G32" si="7">G4*$G$17</f>
        <v>0</v>
      </c>
      <c r="H22" s="445">
        <f t="shared" ref="H22:H32" si="8">H4*$H$17</f>
        <v>0</v>
      </c>
      <c r="I22" s="445">
        <f t="shared" ref="I22:I32" si="9">I4*$I$17</f>
        <v>0</v>
      </c>
      <c r="J22" s="445">
        <f t="shared" ref="J22:J32" si="10">J4*$J$17</f>
        <v>275.34829468964546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13053.610282767751</v>
      </c>
    </row>
    <row r="23" spans="1:17">
      <c r="A23" s="444" t="s">
        <v>149</v>
      </c>
      <c r="B23" s="445">
        <f t="shared" ca="1" si="2"/>
        <v>794.14048351381768</v>
      </c>
      <c r="C23" s="445">
        <f t="shared" ca="1" si="3"/>
        <v>0</v>
      </c>
      <c r="D23" s="445">
        <f t="shared" ca="1" si="4"/>
        <v>179.17996021200003</v>
      </c>
      <c r="E23" s="445">
        <f t="shared" si="5"/>
        <v>12.991698656823049</v>
      </c>
      <c r="F23" s="445">
        <f t="shared" ca="1" si="6"/>
        <v>169.60342776358229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1155.915570146223</v>
      </c>
    </row>
    <row r="24" spans="1:17">
      <c r="A24" s="444" t="s">
        <v>187</v>
      </c>
      <c r="B24" s="445">
        <f t="shared" ca="1" si="2"/>
        <v>74.103203635670141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74.103203635670141</v>
      </c>
    </row>
    <row r="25" spans="1:17">
      <c r="A25" s="444" t="s">
        <v>105</v>
      </c>
      <c r="B25" s="445">
        <f t="shared" ca="1" si="2"/>
        <v>592.99168976655972</v>
      </c>
      <c r="C25" s="445">
        <f t="shared" ca="1" si="3"/>
        <v>0</v>
      </c>
      <c r="D25" s="445">
        <f t="shared" si="4"/>
        <v>1.8920063360000003</v>
      </c>
      <c r="E25" s="445">
        <f t="shared" si="5"/>
        <v>5.9532100580033687</v>
      </c>
      <c r="F25" s="445">
        <f t="shared" si="6"/>
        <v>2911.6414289718546</v>
      </c>
      <c r="G25" s="445">
        <f t="shared" si="7"/>
        <v>0</v>
      </c>
      <c r="H25" s="445">
        <f t="shared" si="8"/>
        <v>0</v>
      </c>
      <c r="I25" s="445">
        <f t="shared" si="9"/>
        <v>0</v>
      </c>
      <c r="J25" s="445">
        <f t="shared" si="10"/>
        <v>104.25704851739209</v>
      </c>
      <c r="K25" s="445">
        <f t="shared" si="11"/>
        <v>0</v>
      </c>
      <c r="L25" s="445">
        <f t="shared" si="12"/>
        <v>0</v>
      </c>
      <c r="M25" s="445">
        <f t="shared" si="13"/>
        <v>0</v>
      </c>
      <c r="N25" s="445">
        <f t="shared" si="14"/>
        <v>0</v>
      </c>
      <c r="O25" s="445">
        <f t="shared" si="15"/>
        <v>0</v>
      </c>
      <c r="P25" s="446">
        <f t="shared" si="16"/>
        <v>0</v>
      </c>
      <c r="Q25" s="444">
        <f t="shared" ca="1" si="17"/>
        <v>3616.7353836498096</v>
      </c>
    </row>
    <row r="26" spans="1:17">
      <c r="A26" s="444" t="s">
        <v>613</v>
      </c>
      <c r="B26" s="445">
        <f t="shared" ca="1" si="2"/>
        <v>89.636091868568315</v>
      </c>
      <c r="C26" s="445">
        <f t="shared" ca="1" si="3"/>
        <v>0</v>
      </c>
      <c r="D26" s="445">
        <f t="shared" si="4"/>
        <v>7.751322568</v>
      </c>
      <c r="E26" s="445">
        <f t="shared" si="5"/>
        <v>1.3100611805870412</v>
      </c>
      <c r="F26" s="445">
        <f t="shared" si="6"/>
        <v>59.482965256333593</v>
      </c>
      <c r="G26" s="445">
        <f t="shared" si="7"/>
        <v>0</v>
      </c>
      <c r="H26" s="445">
        <f t="shared" si="8"/>
        <v>0</v>
      </c>
      <c r="I26" s="445">
        <f t="shared" si="9"/>
        <v>0</v>
      </c>
      <c r="J26" s="445">
        <f t="shared" si="10"/>
        <v>0.50359934607684687</v>
      </c>
      <c r="K26" s="445">
        <f t="shared" si="11"/>
        <v>0</v>
      </c>
      <c r="L26" s="445">
        <f t="shared" si="12"/>
        <v>0</v>
      </c>
      <c r="M26" s="445">
        <f t="shared" si="13"/>
        <v>0</v>
      </c>
      <c r="N26" s="445">
        <f t="shared" si="14"/>
        <v>0</v>
      </c>
      <c r="O26" s="445">
        <f t="shared" si="15"/>
        <v>0</v>
      </c>
      <c r="P26" s="446">
        <f t="shared" si="16"/>
        <v>0</v>
      </c>
      <c r="Q26" s="444">
        <f t="shared" ca="1" si="17"/>
        <v>158.68404021956579</v>
      </c>
    </row>
    <row r="27" spans="1:17" s="450" customFormat="1">
      <c r="A27" s="448" t="s">
        <v>555</v>
      </c>
      <c r="B27" s="719">
        <f t="shared" ca="1" si="2"/>
        <v>6.5554459859491432E-2</v>
      </c>
      <c r="C27" s="449">
        <f t="shared" ca="1" si="3"/>
        <v>0</v>
      </c>
      <c r="D27" s="449">
        <f t="shared" si="4"/>
        <v>0.30536844441765082</v>
      </c>
      <c r="E27" s="449">
        <f t="shared" si="5"/>
        <v>33.893244563395641</v>
      </c>
      <c r="F27" s="449">
        <f t="shared" si="6"/>
        <v>0</v>
      </c>
      <c r="G27" s="449">
        <f t="shared" si="7"/>
        <v>6105.1588125105891</v>
      </c>
      <c r="H27" s="449">
        <f t="shared" si="8"/>
        <v>1249.9955486521942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7389.4185286304555</v>
      </c>
    </row>
    <row r="28" spans="1:17">
      <c r="A28" s="444" t="s">
        <v>545</v>
      </c>
      <c r="B28" s="445">
        <f t="shared" ca="1" si="2"/>
        <v>0.54680230750850822</v>
      </c>
      <c r="C28" s="445">
        <f t="shared" ca="1" si="3"/>
        <v>0</v>
      </c>
      <c r="D28" s="445">
        <f t="shared" si="4"/>
        <v>0</v>
      </c>
      <c r="E28" s="445">
        <f t="shared" si="5"/>
        <v>0</v>
      </c>
      <c r="F28" s="445">
        <f t="shared" si="6"/>
        <v>0</v>
      </c>
      <c r="G28" s="445">
        <f t="shared" si="7"/>
        <v>155.44327925976606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155.99008156727456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183.69551052013071</v>
      </c>
      <c r="C32" s="445">
        <f t="shared" ca="1" si="3"/>
        <v>0</v>
      </c>
      <c r="D32" s="445">
        <f t="shared" si="4"/>
        <v>21.991336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205.6868465201307</v>
      </c>
    </row>
    <row r="33" spans="1:17" s="457" customFormat="1">
      <c r="A33" s="454" t="s">
        <v>549</v>
      </c>
      <c r="B33" s="455">
        <f ca="1">SUM(B22:B32)</f>
        <v>4108.8394581230368</v>
      </c>
      <c r="C33" s="455">
        <f t="shared" ref="C33:Q33" ca="1" si="19">SUM(C22:C32)</f>
        <v>0</v>
      </c>
      <c r="D33" s="455">
        <f t="shared" ca="1" si="19"/>
        <v>1163.0325838924175</v>
      </c>
      <c r="E33" s="455">
        <f t="shared" si="19"/>
        <v>283.86528932414524</v>
      </c>
      <c r="F33" s="455">
        <f t="shared" ca="1" si="19"/>
        <v>12363.700022821617</v>
      </c>
      <c r="G33" s="455">
        <f t="shared" si="19"/>
        <v>6260.6020917703554</v>
      </c>
      <c r="H33" s="455">
        <f t="shared" si="19"/>
        <v>1249.9955486521942</v>
      </c>
      <c r="I33" s="455">
        <f t="shared" si="19"/>
        <v>0</v>
      </c>
      <c r="J33" s="455">
        <f t="shared" si="19"/>
        <v>380.10894255311439</v>
      </c>
      <c r="K33" s="455">
        <f t="shared" si="19"/>
        <v>0</v>
      </c>
      <c r="L33" s="455">
        <f t="shared" ca="1" si="19"/>
        <v>0</v>
      </c>
      <c r="M33" s="455">
        <f t="shared" si="19"/>
        <v>0</v>
      </c>
      <c r="N33" s="455">
        <f t="shared" ca="1" si="19"/>
        <v>0</v>
      </c>
      <c r="O33" s="455">
        <f t="shared" si="19"/>
        <v>0</v>
      </c>
      <c r="P33" s="455">
        <f t="shared" si="19"/>
        <v>0</v>
      </c>
      <c r="Q33" s="455">
        <f t="shared" ca="1" si="19"/>
        <v>25810.14393713688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1573.5113668282725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1573.5113668282725</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0.20375543705348317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0.20375543705348317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2022-07-26T12:51:54Z</dcterms:modified>
</cp:coreProperties>
</file>