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94E86C02-549C-44D9-BFBC-92852AEECD5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<sst xmlns="http://schemas.openxmlformats.org/spreadsheetml/2006/main" count="2513" uniqueCount="962">
  <si>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</si>
  <si>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</si>
  <si>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</si>
  <si>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</si>
  <si>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</si>
  <si>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</si>
  <si>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</si>
  <si>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</si>
  <si>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</si>
  <si>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</si>
  <si>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</si>
  <si>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</si>
  <si>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</si>
  <si>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</si>
  <si>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</si>
  <si>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</si>
  <si>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</si>
  <si>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</si>
  <si>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</si>
  <si>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</si>
  <si>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</si>
  <si>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</si>
  <si>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</si>
  <si>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</si>
  <si>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</si>
  <si>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</si>
  <si>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</si>
  <si>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</si>
  <si>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</si>
  <si>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</si>
  <si>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</si>
  <si>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</si>
  <si>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</si>
  <si>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</si>
  <si>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</si>
  <si>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</si>
  <si>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</si>
  <si>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</si>
  <si>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</si>
  <si>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</si>
  <si>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</si>
  <si>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</si>
  <si>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</si>
  <si>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</si>
  <si>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</si>
  <si>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</si>
  <si>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</si>
  <si>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</si>
  <si>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</si>
  <si>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</si>
  <si>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</si>
  <si>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</si>
  <si>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</si>
  <si>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</si>
  <si>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</si>
  <si>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</si>
  <si>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</si>
  <si>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</si>
  <si>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</si>
  <si>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</si>
  <si>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</si>
  <si>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</si>
  <si>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</si>
  <si>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</si>
  <si>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</si>
  <si>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</si>
  <si>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</si>
  <si>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</si>
  <si>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</si>
  <si>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</si>
  <si>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</si>
  <si>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</si>
  <si>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</si>
  <si>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</si>
  <si>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</si>
  <si>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</si>
  <si>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</si>
  <si>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</si>
  <si>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</si>
  <si>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</si>
  <si>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</si>
  <si>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</si>
  <si>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</si>
  <si>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</si>
  <si>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</si>
  <si>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</si>
  <si>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</si>
  <si>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</si>
  <si>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</si>
  <si>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</si>
  <si>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</si>
  <si>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</si>
  <si>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</si>
  <si>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</si>
  <si>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</si>
  <si>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</si>
  <si>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</si>
  <si>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</si>
  <si>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</si>
  <si>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</si>
  <si>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</si>
  <si>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</si>
  <si>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</si>
  <si>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</si>
  <si>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</si>
  <si>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</si>
  <si>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</si>
  <si>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</si>
  <si>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</si>
  <si>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</si>
  <si>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</si>
  <si>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</si>
  <si>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</si>
  <si>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</si>
  <si>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</si>
  <si>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</si>
  <si>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</si>
  <si>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</si>
  <si>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</si>
  <si>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</si>
  <si>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</si>
  <si>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</si>
  <si>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</si>
  <si>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</si>
  <si>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</si>
  <si>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</si>
  <si>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</si>
  <si>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</si>
  <si>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</si>
  <si>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</si>
  <si>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</si>
  <si>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</si>
  <si>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</si>
  <si>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</si>
  <si>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</si>
  <si>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</si>
  <si>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</si>
  <si>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</si>
  <si>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</si>
  <si>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</si>
  <si>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</si>
  <si>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</si>
  <si>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</si>
  <si>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</si>
  <si>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</si>
  <si>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</si>
  <si>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</si>
  <si>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</si>
  <si>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</si>
  <si>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</si>
  <si>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</si>
  <si>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</si>
  <si>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</si>
  <si>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</si>
  <si>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</si>
  <si>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</si>
  <si>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</si>
  <si>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</si>
  <si>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</si>
  <si>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</si>
  <si>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</si>
  <si>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</si>
  <si>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</si>
  <si>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</si>
  <si>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</si>
  <si>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</si>
  <si>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</si>
  <si>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</si>
  <si>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</si>
  <si>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</si>
  <si>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</si>
  <si>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</si>
  <si>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</si>
  <si>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</si>
  <si>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</si>
  <si>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</si>
  <si>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</si>
  <si>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</si>
  <si>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</si>
  <si>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</si>
  <si>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</si>
  <si>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</si>
  <si>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</si>
  <si>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</si>
  <si>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</si>
  <si>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</si>
  <si>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</si>
  <si>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</si>
  <si>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</si>
  <si>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</si>
  <si>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</si>
  <si>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</si>
  <si>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</si>
  <si>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</si>
  <si>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</si>
  <si>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</si>
  <si>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</si>
  <si>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</si>
  <si>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</si>
  <si>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</si>
  <si>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</si>
  <si>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</si>
  <si>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</si>
  <si>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</si>
  <si>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</si>
  <si>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</si>
  <si>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</si>
  <si>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</si>
  <si>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</si>
  <si>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</si>
  <si>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</si>
  <si>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</si>
  <si>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</si>
  <si>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</si>
  <si>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</si>
  <si>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</si>
  <si>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</si>
  <si>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</si>
  <si>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</si>
  <si>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</si>
  <si>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</si>
  <si>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</si>
  <si>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</si>
  <si>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</si>
  <si>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</si>
  <si>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</si>
  <si>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</si>
  <si>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</si>
  <si>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</si>
  <si>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</si>
  <si>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</si>
  <si>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</si>
  <si>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</si>
  <si>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</si>
  <si>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</si>
  <si>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</si>
  <si>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</si>
  <si>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</si>
  <si>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</si>
  <si>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</si>
  <si>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</si>
  <si>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</si>
  <si>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</si>
  <si>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</si>
  <si>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</si>
  <si>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</si>
  <si>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</si>
  <si>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</si>
  <si>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</si>
  <si>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</si>
  <si>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</si>
  <si>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</si>
  <si>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</si>
  <si>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</si>
  <si>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</si>
  <si>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</si>
  <si>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</si>
  <si>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</si>
  <si>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</si>
  <si>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</si>
  <si>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</si>
  <si>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</si>
  <si>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</si>
  <si>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</si>
  <si>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</si>
  <si>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</si>
  <si>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</si>
  <si>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</si>
  <si>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</si>
  <si>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</si>
  <si>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</si>
  <si>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</si>
  <si>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</si>
  <si>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</si>
  <si>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</si>
  <si>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</si>
  <si>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</si>
  <si>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</si>
  <si>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</si>
  <si>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</si>
  <si>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</si>
  <si>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</si>
  <si>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</si>
  <si>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</si>
  <si>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</si>
  <si>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</si>
  <si>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</si>
  <si>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</si>
  <si>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</si>
  <si>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</si>
  <si>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</si>
  <si>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</si>
  <si>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</si>
  <si>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</si>
  <si>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</si>
  <si>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</si>
  <si>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</si>
  <si>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</si>
  <si>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</si>
  <si>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</si>
  <si>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</si>
  <si>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</si>
  <si>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</si>
  <si>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</si>
  <si>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</si>
  <si>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</si>
  <si>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</si>
  <si>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</si>
  <si>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</si>
  <si>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</si>
  <si>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</si>
  <si>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</si>
  <si>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</si>
  <si>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</si>
  <si>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</si>
  <si>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</si>
  <si>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</si>
  <si>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</si>
  <si>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</si>
  <si>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</si>
  <si>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</si>
  <si>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</si>
  <si>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</si>
  <si>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</si>
  <si>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</si>
  <si>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</si>
  <si>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</si>
  <si>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</si>
  <si>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</si>
  <si>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</si>
  <si>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</si>
  <si>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</si>
  <si>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</si>
  <si>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</si>
  <si>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</si>
  <si>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</si>
  <si>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</si>
  <si>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</si>
  <si>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</si>
  <si>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</si>
  <si>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</si>
  <si>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</si>
  <si>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</si>
  <si>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</si>
  <si>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</si>
  <si>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</si>
  <si>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</si>
  <si>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</si>
  <si>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</si>
  <si>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</si>
  <si>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</si>
  <si>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</si>
  <si>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</si>
  <si>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</si>
  <si>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</si>
  <si>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</si>
  <si>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</si>
  <si>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</si>
  <si>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</si>
  <si>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</si>
  <si>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</si>
  <si>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</si>
  <si>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</si>
  <si>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</si>
  <si>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</si>
  <si>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</si>
  <si>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</si>
  <si>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</si>
  <si>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</si>
  <si>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</si>
  <si>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</si>
  <si>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</si>
  <si>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</si>
  <si>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</si>
  <si>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</si>
  <si>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</si>
  <si>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</si>
  <si>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</si>
  <si>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</si>
  <si>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</si>
  <si>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</si>
  <si>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</si>
  <si>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</si>
  <si>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</si>
  <si>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</si>
  <si>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</si>
  <si>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</si>
  <si>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</si>
  <si>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</si>
  <si>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</si>
  <si>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</si>
  <si>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</si>
  <si>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</si>
  <si>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</si>
  <si>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</si>
  <si>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</si>
  <si>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</si>
  <si>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</si>
  <si>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</si>
  <si>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</si>
  <si>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</si>
  <si>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</si>
  <si>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</si>
  <si>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</si>
  <si>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</si>
  <si>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</si>
  <si>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</si>
  <si>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</si>
  <si>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</si>
  <si>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</si>
  <si>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</si>
  <si>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</si>
  <si>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</si>
  <si>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</si>
  <si>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</si>
  <si>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</si>
  <si>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</si>
  <si>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</si>
  <si>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</si>
  <si>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</si>
  <si>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</si>
  <si>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</si>
  <si>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</si>
  <si>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</si>
  <si>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</si>
  <si>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</si>
  <si>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</si>
  <si>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</si>
  <si>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</si>
  <si>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</si>
  <si>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</si>
  <si>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</si>
  <si>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</si>
  <si>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</si>
  <si>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</si>
  <si>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</si>
  <si>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</si>
  <si>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</si>
  <si>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</si>
  <si>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</si>
  <si>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</si>
  <si>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</si>
  <si>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</si>
  <si>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</si>
  <si>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</si>
  <si>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</si>
  <si>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</si>
  <si>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</si>
  <si>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</si>
  <si>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</si>
  <si>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</si>
  <si>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</si>
  <si>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</si>
  <si>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</si>
  <si>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</si>
  <si>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</si>
  <si>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</si>
  <si>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</si>
  <si>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</si>
  <si>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</si>
  <si>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</si>
  <si>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</si>
  <si>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</si>
  <si>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</si>
  <si>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</si>
  <si>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</si>
  <si>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</si>
  <si>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</si>
  <si>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</si>
  <si>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</si>
  <si>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</si>
  <si>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</si>
  <si>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</si>
  <si>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</si>
  <si>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</si>
  <si>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</si>
  <si>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</si>
  <si>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</si>
  <si>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</si>
  <si>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</si>
  <si>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</si>
  <si>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</si>
  <si>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</si>
  <si>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</si>
  <si>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</si>
  <si>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</si>
  <si>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</si>
  <si>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</si>
  <si>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</si>
  <si>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</si>
  <si>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</si>
  <si>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</si>
  <si>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</si>
  <si>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</si>
  <si>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</si>
  <si>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</si>
  <si>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</si>
  <si>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</si>
  <si>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</si>
  <si>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</si>
  <si>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</si>
  <si>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</si>
  <si>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</si>
  <si>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</si>
  <si>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</si>
  <si>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</si>
  <si>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</si>
  <si>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</si>
  <si>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</si>
  <si>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</si>
  <si>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</si>
  <si>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</si>
  <si>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</si>
  <si>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</si>
  <si>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</si>
  <si>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</si>
  <si>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</si>
  <si>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</si>
  <si>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</si>
  <si>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</si>
  <si>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</si>
  <si>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</si>
  <si>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</si>
  <si>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</si>
  <si>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</si>
  <si>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</si>
  <si>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</si>
  <si>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</si>
  <si>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</si>
  <si>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</si>
  <si>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</si>
  <si>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</si>
  <si>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</si>
  <si>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</si>
  <si>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</si>
  <si>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</si>
  <si>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</si>
  <si>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</si>
  <si>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</si>
  <si>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</si>
  <si>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</si>
  <si>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</si>
  <si>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</si>
  <si>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</si>
  <si>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</si>
  <si>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</si>
  <si>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</si>
  <si>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</si>
  <si>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</si>
  <si>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</si>
  <si>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</si>
  <si>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</si>
  <si>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</si>
  <si>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</si>
  <si>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</si>
  <si>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</si>
  <si>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</si>
  <si>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</si>
  <si>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</si>
  <si>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</si>
  <si>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</si>
  <si>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</si>
  <si>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</si>
  <si>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</si>
  <si>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</si>
  <si>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</si>
  <si>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</si>
  <si>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</si>
  <si>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</si>
  <si>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</si>
  <si>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</si>
  <si>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</si>
  <si>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</si>
  <si>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</si>
  <si>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</si>
  <si>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</si>
  <si>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</si>
  <si>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</si>
  <si>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</si>
  <si>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</si>
  <si>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</si>
  <si>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</si>
  <si>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</si>
  <si>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</si>
  <si>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</si>
  <si>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</si>
  <si>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</si>
  <si>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</si>
  <si>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</si>
  <si>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</si>
  <si>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</si>
  <si>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</si>
  <si>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</si>
  <si>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</si>
  <si>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</si>
  <si>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</si>
  <si>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</si>
  <si>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</si>
  <si>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</si>
  <si>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</si>
  <si>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</si>
  <si>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</si>
  <si>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</si>
  <si>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</si>
  <si>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</si>
  <si>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</si>
  <si>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</si>
  <si>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</si>
  <si>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</si>
  <si>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</si>
  <si>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</si>
  <si>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</si>
  <si>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</si>
  <si>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</si>
  <si>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</si>
  <si>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</si>
  <si>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</si>
  <si>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</si>
  <si>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</si>
  <si>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</si>
  <si>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</si>
  <si>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</si>
  <si>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</si>
  <si>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</si>
  <si>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</si>
  <si>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</si>
  <si>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</si>
  <si>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</si>
  <si>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</si>
  <si>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</si>
  <si>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</si>
  <si>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</si>
  <si>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</si>
  <si>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</si>
  <si>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</si>
  <si>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</si>
  <si>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</si>
  <si>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</si>
  <si>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</si>
  <si>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</si>
  <si>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</si>
  <si>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</si>
  <si>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</si>
  <si>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</si>
  <si>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</si>
  <si>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</si>
  <si>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</si>
  <si>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</si>
  <si>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</si>
  <si>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</si>
  <si>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</si>
  <si>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</si>
  <si>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</si>
  <si>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</si>
  <si>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</si>
  <si>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</si>
  <si>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</si>
  <si>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</si>
  <si>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</si>
  <si>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</si>
  <si>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</si>
  <si>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</si>
  <si>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</si>
  <si>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</si>
  <si>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</si>
  <si>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</si>
  <si>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</si>
  <si>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</si>
  <si>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</si>
  <si>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</si>
  <si>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</si>
  <si>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</si>
  <si>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</si>
  <si>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</si>
  <si>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</si>
  <si>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</si>
  <si>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</si>
  <si>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</si>
  <si>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</si>
  <si>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</si>
  <si>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</si>
  <si>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</si>
  <si>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</si>
  <si>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</si>
  <si>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</si>
  <si>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</si>
  <si>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</si>
  <si>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</si>
  <si>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</si>
  <si>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</si>
  <si>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</si>
  <si>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</si>
  <si>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</si>
  <si>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</si>
  <si>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</si>
  <si>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</si>
  <si>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</si>
  <si>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</si>
  <si>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</si>
  <si>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</si>
  <si>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</si>
  <si>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</si>
  <si>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</si>
  <si>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</si>
  <si>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</si>
  <si>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</si>
  <si>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</si>
  <si>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</si>
  <si>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</si>
  <si>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</si>
  <si>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</si>
  <si>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</si>
  <si>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</si>
  <si>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</si>
  <si>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</si>
  <si>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</si>
  <si>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</si>
  <si>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</si>
  <si>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</si>
  <si>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</si>
  <si>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</si>
  <si>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</si>
  <si>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</si>
  <si>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</si>
  <si>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</si>
  <si>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</si>
  <si>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</si>
  <si>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</si>
  <si>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</si>
  <si>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</si>
  <si>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</si>
  <si>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</si>
  <si>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</si>
  <si>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</si>
  <si>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</si>
  <si>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</si>
  <si>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</si>
  <si>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</si>
  <si>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</si>
  <si>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</si>
  <si>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</si>
  <si>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</si>
  <si>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</si>
  <si>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</si>
  <si>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</si>
  <si>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</si>
  <si>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</si>
  <si>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</si>
  <si>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</si>
  <si>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</si>
  <si>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</si>
  <si>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</si>
  <si>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</si>
  <si>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</si>
  <si>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</si>
  <si>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</si>
  <si>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</si>
  <si>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</si>
  <si>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</si>
  <si>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</si>
  <si>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</si>
  <si>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</si>
  <si>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</si>
  <si>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</si>
  <si>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</si>
  <si>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</si>
  <si>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</si>
  <si>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</si>
  <si>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</si>
  <si>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</si>
  <si>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</si>
  <si>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</si>
  <si>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</si>
  <si>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</si>
  <si>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</si>
  <si>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</si>
  <si>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</si>
  <si>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</si>
  <si>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</si>
  <si>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</si>
  <si>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</si>
  <si>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</si>
  <si>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</si>
  <si>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</si>
  <si>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</si>
  <si>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</si>
  <si>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</si>
  <si>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</si>
  <si>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</si>
  <si>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</si>
  <si>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</si>
  <si>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</si>
  <si>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</si>
  <si>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</si>
  <si>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</si>
  <si>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</si>
  <si>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</si>
  <si>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</si>
  <si>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</si>
  <si>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</si>
  <si>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</si>
  <si>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</si>
  <si>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</si>
  <si>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</si>
  <si>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</si>
  <si>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</si>
  <si>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</si>
  <si>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</si>
  <si>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</si>
  <si>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</si>
  <si>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</si>
  <si>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</si>
  <si>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</si>
  <si>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</si>
  <si>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</si>
  <si>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</si>
  <si>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</si>
  <si>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</si>
  <si>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</si>
  <si>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</si>
  <si>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</si>
  <si>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</si>
  <si>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</si>
  <si>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</si>
  <si>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</si>
  <si>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</si>
  <si>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</si>
  <si>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</si>
  <si>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</si>
  <si>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</si>
  <si>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</si>
  <si>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</si>
  <si>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</si>
  <si>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</si>
  <si>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</si>
  <si>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</si>
  <si>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</si>
  <si>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</si>
  <si>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</si>
  <si>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</si>
  <si>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</si>
  <si>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</si>
  <si>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</si>
  <si>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</si>
  <si>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</si>
  <si>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</si>
  <si>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</si>
  <si>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</si>
  <si>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</si>
  <si>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</si>
  <si>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</si>
  <si>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</si>
  <si>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</si>
  <si>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</si>
  <si>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</si>
  <si>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</si>
  <si>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</si>
  <si>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</si>
  <si>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</si>
  <si>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</si>
  <si>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</si>
  <si>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</si>
  <si>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</si>
  <si>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</si>
  <si>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</si>
  <si>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</si>
  <si>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</si>
  <si>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</si>
  <si>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</si>
  <si>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</si>
  <si>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</si>
  <si>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</si>
  <si>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</si>
  <si>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</si>
  <si>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</si>
  <si>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</si>
  <si>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</si>
  <si>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</si>
  <si>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</si>
  <si>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</si>
  <si>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</si>
  <si>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</si>
  <si>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</si>
  <si>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</si>
  <si>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</si>
  <si>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</si>
  <si>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</si>
  <si>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</si>
  <si>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</si>
  <si>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</si>
  <si>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</si>
  <si>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</si>
  <si>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</si>
  <si>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</si>
  <si>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</si>
  <si>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</si>
  <si>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</si>
  <si>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</si>
  <si>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</si>
  <si>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</si>
  <si>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</si>
  <si>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</si>
  <si>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</si>
  <si>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</si>
  <si>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</si>
  <si>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</si>
  <si>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</si>
  <si>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</si>
  <si>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</si>
  <si>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</si>
  <si>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</si>
  <si>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</si>
  <si>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</si>
  <si>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</si>
  <si>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</si>
  <si>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</si>
  <si>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</si>
  <si>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</si>
  <si>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</si>
  <si>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</si>
  <si>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</si>
  <si>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</si>
  <si>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</si>
  <si>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</si>
  <si>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</si>
  <si>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</si>
  <si>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</si>
  <si>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</si>
  <si>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</si>
  <si>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</si>
  <si>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</si>
  <si>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</si>
  <si>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</si>
  <si>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</si>
  <si>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</si>
  <si>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</si>
  <si>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</si>
  <si>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</si>
  <si>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</si>
  <si>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</si>
  <si>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</si>
  <si>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</si>
  <si>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</si>
  <si>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</si>
  <si>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</si>
  <si>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</si>
  <si>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</si>
  <si>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</si>
  <si>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</si>
  <si>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</si>
  <si>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</si>
  <si>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</si>
  <si>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</si>
  <si>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</si>
  <si>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</si>
  <si>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</si>
  <si>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</si>
  <si>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23038</t>
  </si>
  <si>
    <t>KAMPENHOUT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</si>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</sst>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0422BEC6-35CF-4256-8EBE-591A3BF86B2F}"/>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23038</v>
      </c>
      <c r="B6" s="382"/>
      <c r="C6" s="383"/>
    </row>
    <row r="7" spans="1:7" s="380" customFormat="1" ht="15.75" customHeight="1">
      <c r="A7" s="384" t="str">
        <f>txtMunicipality</f>
        <v>KAMPENHOUT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0.21022257913638873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0.21022257913638873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4407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1365</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34</v>
      </c>
      <c r="C17" s="324"/>
      <c r="D17" s="324"/>
      <c r="E17" s="324"/>
      <c r="F17" s="324"/>
    </row>
    <row r="18" spans="1:6">
      <c r="A18" s="1235" t="s">
        <v>8</v>
      </c>
      <c r="B18" s="1236">
        <v>50</v>
      </c>
      <c r="C18" s="324"/>
      <c r="D18" s="324"/>
      <c r="E18" s="324"/>
      <c r="F18" s="324"/>
    </row>
    <row r="19" spans="1:6">
      <c r="A19" s="1235" t="s">
        <v>9</v>
      </c>
      <c r="B19" s="1236">
        <v>79</v>
      </c>
      <c r="C19" s="324"/>
      <c r="D19" s="324"/>
      <c r="E19" s="324"/>
      <c r="F19" s="324"/>
    </row>
    <row r="20" spans="1:6">
      <c r="A20" s="1235" t="s">
        <v>10</v>
      </c>
      <c r="B20" s="1236">
        <v>22</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34</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105</v>
      </c>
      <c r="C29" s="324"/>
      <c r="D29" s="324"/>
      <c r="E29" s="324"/>
      <c r="F29" s="324"/>
    </row>
    <row r="30" spans="1:6">
      <c r="A30" s="1230" t="s">
        <v>960</v>
      </c>
      <c r="B30" s="1238">
        <v>15</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4599</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1850</v>
      </c>
      <c r="D39" s="1236">
        <v>37558141</v>
      </c>
      <c r="E39" s="1236">
        <v>4510</v>
      </c>
      <c r="F39" s="1236">
        <v>22051601.443184908</v>
      </c>
    </row>
    <row r="40" spans="1:6">
      <c r="A40" s="1235" t="s">
        <v>29</v>
      </c>
      <c r="B40" s="1235" t="s">
        <v>28</v>
      </c>
      <c r="C40" s="1236">
        <v>0</v>
      </c>
      <c r="D40" s="1236">
        <v>0</v>
      </c>
      <c r="E40" s="1236">
        <v>0</v>
      </c>
      <c r="F40" s="1236">
        <v>0</v>
      </c>
    </row>
    <row r="41" spans="1:6">
      <c r="A41" s="1235" t="s">
        <v>31</v>
      </c>
      <c r="B41" s="1235" t="s">
        <v>32</v>
      </c>
      <c r="C41" s="1236">
        <v>12</v>
      </c>
      <c r="D41" s="1236">
        <v>188495</v>
      </c>
      <c r="E41" s="1236">
        <v>49</v>
      </c>
      <c r="F41" s="1236">
        <v>731963</v>
      </c>
    </row>
    <row r="42" spans="1:6">
      <c r="A42" s="1235" t="s">
        <v>31</v>
      </c>
      <c r="B42" s="1235" t="s">
        <v>33</v>
      </c>
      <c r="C42" s="1236">
        <v>0</v>
      </c>
      <c r="D42" s="1236">
        <v>0</v>
      </c>
      <c r="E42" s="1236">
        <v>3</v>
      </c>
      <c r="F42" s="1236">
        <v>4998</v>
      </c>
    </row>
    <row r="43" spans="1:6">
      <c r="A43" s="1235" t="s">
        <v>31</v>
      </c>
      <c r="B43" s="1235" t="s">
        <v>34</v>
      </c>
      <c r="C43" s="1236">
        <v>0</v>
      </c>
      <c r="D43" s="1236">
        <v>0</v>
      </c>
      <c r="E43" s="1236">
        <v>0</v>
      </c>
      <c r="F43" s="1236">
        <v>0</v>
      </c>
    </row>
    <row r="44" spans="1:6">
      <c r="A44" s="1235" t="s">
        <v>31</v>
      </c>
      <c r="B44" s="1235" t="s">
        <v>35</v>
      </c>
      <c r="C44" s="1236">
        <v>5</v>
      </c>
      <c r="D44" s="1236">
        <v>508747</v>
      </c>
      <c r="E44" s="1236">
        <v>12</v>
      </c>
      <c r="F44" s="1236">
        <v>654447</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5</v>
      </c>
      <c r="F47" s="1236">
        <v>2099722</v>
      </c>
    </row>
    <row r="48" spans="1:6">
      <c r="A48" s="1235" t="s">
        <v>31</v>
      </c>
      <c r="B48" s="1235" t="s">
        <v>28</v>
      </c>
      <c r="C48" s="1236">
        <v>3</v>
      </c>
      <c r="D48" s="1236">
        <v>798402</v>
      </c>
      <c r="E48" s="1236">
        <v>3</v>
      </c>
      <c r="F48" s="1236">
        <v>850176.14796137868</v>
      </c>
    </row>
    <row r="49" spans="1:6">
      <c r="A49" s="1235" t="s">
        <v>31</v>
      </c>
      <c r="B49" s="1235" t="s">
        <v>39</v>
      </c>
      <c r="C49" s="1236">
        <v>0</v>
      </c>
      <c r="D49" s="1236">
        <v>0</v>
      </c>
      <c r="E49" s="1236">
        <v>0</v>
      </c>
      <c r="F49" s="1236">
        <v>0</v>
      </c>
    </row>
    <row r="50" spans="1:6">
      <c r="A50" s="1235" t="s">
        <v>31</v>
      </c>
      <c r="B50" s="1235" t="s">
        <v>40</v>
      </c>
      <c r="C50" s="1236">
        <v>0</v>
      </c>
      <c r="D50" s="1236">
        <v>0</v>
      </c>
      <c r="E50" s="1236">
        <v>4</v>
      </c>
      <c r="F50" s="1236">
        <v>323570</v>
      </c>
    </row>
    <row r="51" spans="1:6">
      <c r="A51" s="1235" t="s">
        <v>41</v>
      </c>
      <c r="B51" s="1235" t="s">
        <v>42</v>
      </c>
      <c r="C51" s="1236">
        <v>0</v>
      </c>
      <c r="D51" s="1236">
        <v>0</v>
      </c>
      <c r="E51" s="1236">
        <v>21</v>
      </c>
      <c r="F51" s="1236">
        <v>1739268</v>
      </c>
    </row>
    <row r="52" spans="1:6">
      <c r="A52" s="1235" t="s">
        <v>41</v>
      </c>
      <c r="B52" s="1235" t="s">
        <v>28</v>
      </c>
      <c r="C52" s="1236">
        <v>2</v>
      </c>
      <c r="D52" s="1236">
        <v>76655</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0</v>
      </c>
      <c r="F54" s="1236">
        <v>0</v>
      </c>
    </row>
    <row r="55" spans="1:6">
      <c r="A55" s="1235" t="s">
        <v>45</v>
      </c>
      <c r="B55" s="1235" t="s">
        <v>28</v>
      </c>
      <c r="C55" s="1236">
        <v>0</v>
      </c>
      <c r="D55" s="1236">
        <v>0</v>
      </c>
      <c r="E55" s="1236">
        <v>1</v>
      </c>
      <c r="F55" s="1236">
        <v>1262665</v>
      </c>
    </row>
    <row r="56" spans="1:6">
      <c r="A56" s="1235" t="s">
        <v>47</v>
      </c>
      <c r="B56" s="1235" t="s">
        <v>28</v>
      </c>
      <c r="C56" s="1236">
        <v>26</v>
      </c>
      <c r="D56" s="1236">
        <v>856755</v>
      </c>
      <c r="E56" s="1236">
        <v>158</v>
      </c>
      <c r="F56" s="1236">
        <v>3150260</v>
      </c>
    </row>
    <row r="57" spans="1:6">
      <c r="A57" s="1235" t="s">
        <v>48</v>
      </c>
      <c r="B57" s="1235" t="s">
        <v>49</v>
      </c>
      <c r="C57" s="1236">
        <v>14</v>
      </c>
      <c r="D57" s="1236">
        <v>580969</v>
      </c>
      <c r="E57" s="1236">
        <v>47</v>
      </c>
      <c r="F57" s="1236">
        <v>1345715</v>
      </c>
    </row>
    <row r="58" spans="1:6">
      <c r="A58" s="1235" t="s">
        <v>48</v>
      </c>
      <c r="B58" s="1235" t="s">
        <v>50</v>
      </c>
      <c r="C58" s="1236">
        <v>10</v>
      </c>
      <c r="D58" s="1236">
        <v>1685962</v>
      </c>
      <c r="E58" s="1236">
        <v>0</v>
      </c>
      <c r="F58" s="1236">
        <v>0</v>
      </c>
    </row>
    <row r="59" spans="1:6">
      <c r="A59" s="1235" t="s">
        <v>48</v>
      </c>
      <c r="B59" s="1235" t="s">
        <v>51</v>
      </c>
      <c r="C59" s="1236">
        <v>35</v>
      </c>
      <c r="D59" s="1236">
        <v>1574773</v>
      </c>
      <c r="E59" s="1236">
        <v>132</v>
      </c>
      <c r="F59" s="1236">
        <v>5584786</v>
      </c>
    </row>
    <row r="60" spans="1:6">
      <c r="A60" s="1235" t="s">
        <v>48</v>
      </c>
      <c r="B60" s="1235" t="s">
        <v>52</v>
      </c>
      <c r="C60" s="1236">
        <v>10</v>
      </c>
      <c r="D60" s="1236">
        <v>478545</v>
      </c>
      <c r="E60" s="1236">
        <v>28</v>
      </c>
      <c r="F60" s="1236">
        <v>800481</v>
      </c>
    </row>
    <row r="61" spans="1:6">
      <c r="A61" s="1235" t="s">
        <v>48</v>
      </c>
      <c r="B61" s="1235" t="s">
        <v>53</v>
      </c>
      <c r="C61" s="1236">
        <v>50</v>
      </c>
      <c r="D61" s="1236">
        <v>3820108</v>
      </c>
      <c r="E61" s="1236">
        <v>130</v>
      </c>
      <c r="F61" s="1236">
        <v>2617145</v>
      </c>
    </row>
    <row r="62" spans="1:6">
      <c r="A62" s="1235" t="s">
        <v>48</v>
      </c>
      <c r="B62" s="1235" t="s">
        <v>54</v>
      </c>
      <c r="C62" s="1236">
        <v>4</v>
      </c>
      <c r="D62" s="1236">
        <v>443690</v>
      </c>
      <c r="E62" s="1236">
        <v>6</v>
      </c>
      <c r="F62" s="1236">
        <v>155606</v>
      </c>
    </row>
    <row r="63" spans="1:6">
      <c r="A63" s="1235" t="s">
        <v>48</v>
      </c>
      <c r="B63" s="1235" t="s">
        <v>28</v>
      </c>
      <c r="C63" s="1236">
        <v>0</v>
      </c>
      <c r="D63" s="1236">
        <v>0</v>
      </c>
      <c r="E63" s="1236">
        <v>3</v>
      </c>
      <c r="F63" s="1236">
        <v>59903.237230617</v>
      </c>
    </row>
    <row r="64" spans="1:6">
      <c r="A64" s="1235" t="s">
        <v>55</v>
      </c>
      <c r="B64" s="1235" t="s">
        <v>56</v>
      </c>
      <c r="C64" s="1236">
        <v>0</v>
      </c>
      <c r="D64" s="1236">
        <v>0</v>
      </c>
      <c r="E64" s="1236">
        <v>0</v>
      </c>
      <c r="F64" s="1236">
        <v>0</v>
      </c>
    </row>
    <row r="65" spans="1:6">
      <c r="A65" s="1235" t="s">
        <v>55</v>
      </c>
      <c r="B65" s="1235" t="s">
        <v>28</v>
      </c>
      <c r="C65" s="1236">
        <v>2</v>
      </c>
      <c r="D65" s="1236">
        <v>56288</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12</v>
      </c>
      <c r="F68" s="1238">
        <v>579642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48746216</v>
      </c>
      <c r="E73" s="443"/>
      <c r="F73" s="324"/>
    </row>
    <row r="74" spans="1:6">
      <c r="A74" s="1235" t="s">
        <v>63</v>
      </c>
      <c r="B74" s="1235" t="s">
        <v>730</v>
      </c>
      <c r="C74" s="1248" t="s">
        <v>731</v>
      </c>
      <c r="D74" s="1236">
        <v>5014769.7753563281</v>
      </c>
      <c r="E74" s="443"/>
      <c r="F74" s="324"/>
    </row>
    <row r="75" spans="1:6">
      <c r="A75" s="1235" t="s">
        <v>64</v>
      </c>
      <c r="B75" s="1235" t="s">
        <v>728</v>
      </c>
      <c r="C75" s="1248" t="s">
        <v>732</v>
      </c>
      <c r="D75" s="1236">
        <v>18030491</v>
      </c>
      <c r="E75" s="443"/>
      <c r="F75" s="324"/>
    </row>
    <row r="76" spans="1:6">
      <c r="A76" s="1235" t="s">
        <v>64</v>
      </c>
      <c r="B76" s="1235" t="s">
        <v>730</v>
      </c>
      <c r="C76" s="1248" t="s">
        <v>733</v>
      </c>
      <c r="D76" s="1236">
        <v>471584.77535632806</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832332.44928734389</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136</v>
      </c>
      <c r="C89" s="324"/>
      <c r="D89" s="324"/>
      <c r="E89" s="324"/>
      <c r="F89" s="324"/>
    </row>
    <row r="90" spans="1:6">
      <c r="A90" s="1235" t="s">
        <v>543</v>
      </c>
      <c r="B90" s="1236">
        <v>0</v>
      </c>
      <c r="C90" s="324"/>
      <c r="D90" s="324"/>
      <c r="E90" s="324"/>
      <c r="F90" s="324"/>
    </row>
    <row r="91" spans="1:6">
      <c r="A91" s="1235" t="s">
        <v>67</v>
      </c>
      <c r="B91" s="1236">
        <v>1266.2008080807429</v>
      </c>
      <c r="C91" s="324"/>
      <c r="D91" s="324"/>
      <c r="E91" s="324"/>
      <c r="F91" s="324"/>
    </row>
    <row r="92" spans="1:6">
      <c r="A92" s="1230" t="s">
        <v>68</v>
      </c>
      <c r="B92" s="1231">
        <v>778.31199329349397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921</v>
      </c>
      <c r="C97" s="324"/>
      <c r="D97" s="324"/>
      <c r="E97" s="324"/>
      <c r="F97" s="324"/>
    </row>
    <row r="98" spans="1:6">
      <c r="A98" s="1235" t="s">
        <v>71</v>
      </c>
      <c r="B98" s="1236">
        <v>2</v>
      </c>
      <c r="C98" s="324"/>
      <c r="D98" s="324"/>
      <c r="E98" s="324"/>
      <c r="F98" s="324"/>
    </row>
    <row r="99" spans="1:6">
      <c r="A99" s="1235" t="s">
        <v>72</v>
      </c>
      <c r="B99" s="1236">
        <v>104</v>
      </c>
      <c r="C99" s="324"/>
      <c r="D99" s="324"/>
      <c r="E99" s="324"/>
      <c r="F99" s="324"/>
    </row>
    <row r="100" spans="1:6">
      <c r="A100" s="1235" t="s">
        <v>73</v>
      </c>
      <c r="B100" s="1236">
        <v>359</v>
      </c>
      <c r="C100" s="324"/>
      <c r="D100" s="324"/>
      <c r="E100" s="324"/>
      <c r="F100" s="324"/>
    </row>
    <row r="101" spans="1:6">
      <c r="A101" s="1235" t="s">
        <v>74</v>
      </c>
      <c r="B101" s="1236">
        <v>35</v>
      </c>
      <c r="C101" s="324"/>
      <c r="D101" s="324"/>
      <c r="E101" s="324"/>
      <c r="F101" s="324"/>
    </row>
    <row r="102" spans="1:6">
      <c r="A102" s="1235" t="s">
        <v>75</v>
      </c>
      <c r="B102" s="1236">
        <v>49</v>
      </c>
      <c r="C102" s="324"/>
      <c r="D102" s="324"/>
      <c r="E102" s="324"/>
      <c r="F102" s="324"/>
    </row>
    <row r="103" spans="1:6">
      <c r="A103" s="1235" t="s">
        <v>76</v>
      </c>
      <c r="B103" s="1236">
        <v>118</v>
      </c>
      <c r="C103" s="324"/>
      <c r="D103" s="324"/>
      <c r="E103" s="324"/>
      <c r="F103" s="324"/>
    </row>
    <row r="104" spans="1:6">
      <c r="A104" s="1235" t="s">
        <v>77</v>
      </c>
      <c r="B104" s="1236">
        <v>2384</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8</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34</v>
      </c>
      <c r="C129" s="324"/>
      <c r="D129" s="324"/>
      <c r="E129" s="324"/>
      <c r="F129" s="324"/>
    </row>
    <row r="130" spans="1:6">
      <c r="A130" s="1235" t="s">
        <v>284</v>
      </c>
      <c r="B130" s="1236">
        <v>1</v>
      </c>
      <c r="C130" s="324"/>
      <c r="D130" s="324"/>
      <c r="E130" s="324"/>
      <c r="F130" s="324"/>
    </row>
    <row r="131" spans="1:6">
      <c r="A131" s="1235" t="s">
        <v>285</v>
      </c>
      <c r="B131" s="1236">
        <v>3</v>
      </c>
      <c r="C131" s="324"/>
      <c r="D131" s="324"/>
      <c r="E131" s="324"/>
      <c r="F131" s="324"/>
    </row>
    <row r="132" spans="1:6">
      <c r="A132" s="1230" t="s">
        <v>286</v>
      </c>
      <c r="B132" s="1231">
        <v>9</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44713.23289700631</v>
      </c>
      <c r="C3" s="43" t="s">
        <v>163</v>
      </c>
      <c r="D3" s="43"/>
      <c r="E3" s="155"/>
      <c r="F3" s="43"/>
      <c r="G3" s="43"/>
      <c r="H3" s="43"/>
      <c r="I3" s="43"/>
      <c r="J3" s="43"/>
      <c r="K3" s="96"/>
    </row>
    <row r="4" spans="1:11">
      <c r="A4" s="350" t="s">
        <v>164</v>
      </c>
      <c r="B4" s="49">
        <f>IF(ISERROR('SEAP template'!B78+'SEAP template'!C78),0,'SEAP template'!B78+'SEAP template'!C78)</f>
        <v>2180.5128013742369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0.21022257913638873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1262.665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1262.665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0.21022257913638873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265.44069288524827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22051.601443184907</v>
      </c>
      <c r="C5" s="17">
        <f>IF(ISERROR('Eigen informatie GS &amp; warmtenet'!B57),0,'Eigen informatie GS &amp; warmtenet'!B57)</f>
        <v>0</v>
      </c>
      <c r="D5" s="30">
        <f>(SUM(HH_hh_gas_kWh,HH_rest_gas_kWh)/1000)*0.902</f>
        <v>33877.443182000003</v>
      </c>
      <c r="E5" s="17">
        <f>B32*B41</f>
        <v>1272.5942943235957</v>
      </c>
      <c r="F5" s="17">
        <f>B36*B45</f>
        <v>43439.237133535658</v>
      </c>
      <c r="G5" s="18"/>
      <c r="H5" s="17"/>
      <c r="I5" s="17"/>
      <c r="J5" s="17">
        <f>B35*B44+C35*C44</f>
        <v>978.14148930607985</v>
      </c>
      <c r="K5" s="17"/>
      <c r="L5" s="17"/>
      <c r="M5" s="17"/>
      <c r="N5" s="17">
        <f>B34*B43+C34*C43</f>
        <v>5600.253855896055</v>
      </c>
      <c r="O5" s="17">
        <f>B52*B53*B54</f>
        <v>65.660000000000011</v>
      </c>
      <c r="P5" s="17">
        <f>B60*B61*B62/1000-B60*B61*B62/1000/B63</f>
        <v>247.86666666666667</v>
      </c>
    </row>
    <row r="6" spans="1:16">
      <c r="A6" s="16" t="s">
        <v>591</v>
      </c>
      <c r="B6" s="727">
        <f>kWh_PV_kleiner_dan_10kW</f>
        <v>1266.2008080807429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23317.80225126565</v>
      </c>
      <c r="C8" s="21">
        <f>C5</f>
        <v>0</v>
      </c>
      <c r="D8" s="21">
        <f>D5</f>
        <v>33877.443182000003</v>
      </c>
      <c r="E8" s="21">
        <f>E5</f>
        <v>1272.5942943235957</v>
      </c>
      <c r="F8" s="21">
        <f>F5</f>
        <v>43439.237133535658</v>
      </c>
      <c r="G8" s="21"/>
      <c r="H8" s="21"/>
      <c r="I8" s="21"/>
      <c r="J8" s="21">
        <f>J5</f>
        <v>978.14148930607985</v>
      </c>
      <c r="K8" s="21"/>
      <c r="L8" s="21">
        <f>L5</f>
        <v>0</v>
      </c>
      <c r="M8" s="21">
        <f>M5</f>
        <v>0</v>
      </c>
      <c r="N8" s="21">
        <f>N5</f>
        <v>5600.253855896055</v>
      </c>
      <c r="O8" s="21">
        <f>O5</f>
        <v>65.660000000000011</v>
      </c>
      <c r="P8" s="21">
        <f>P5</f>
        <v>247.86666666666667</v>
      </c>
    </row>
    <row r="9" spans="1:16">
      <c r="B9" s="19"/>
      <c r="C9" s="19"/>
      <c r="D9" s="255"/>
      <c r="E9" s="19"/>
      <c r="F9" s="19"/>
      <c r="G9" s="19"/>
      <c r="H9" s="19"/>
      <c r="I9" s="19"/>
      <c r="J9" s="19"/>
      <c r="K9" s="19"/>
      <c r="L9" s="19"/>
      <c r="M9" s="19"/>
      <c r="N9" s="19"/>
      <c r="O9" s="19"/>
      <c r="P9" s="19"/>
    </row>
    <row r="10" spans="1:16">
      <c r="A10" s="24" t="s">
        <v>207</v>
      </c>
      <c r="B10" s="25">
        <f ca="1">'EF ele_warmte'!B12</f>
        <v>0.21022257913638873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4901.9285290533562</v>
      </c>
      <c r="C12" s="23">
        <f ca="1">C10*C8</f>
        <v>0</v>
      </c>
      <c r="D12" s="23">
        <f>D8*D10</f>
        <v>6843.2435227640008</v>
      </c>
      <c r="E12" s="23">
        <f>E10*E8</f>
        <v>288.87890481145621</v>
      </c>
      <c r="F12" s="23">
        <f>F10*F8</f>
        <v>11598.276314654022</v>
      </c>
      <c r="G12" s="23"/>
      <c r="H12" s="23"/>
      <c r="I12" s="23"/>
      <c r="J12" s="23">
        <f>J10*J8</f>
        <v>346.26208721435222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4407</v>
      </c>
      <c r="C26" s="36"/>
      <c r="D26" s="225"/>
    </row>
    <row r="27" spans="1:5" s="15" customFormat="1">
      <c r="A27" s="227" t="s">
        <v>671</v>
      </c>
      <c r="B27" s="37">
        <f>SUM(HH_hh_gas_aantal,HH_rest_gas_aantal)</f>
        <v>1850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1757.5</v>
      </c>
      <c r="C31" s="34" t="s">
        <v>104</v>
      </c>
      <c r="D31" s="171"/>
    </row>
    <row r="32" spans="1:5">
      <c r="A32" s="168" t="s">
        <v>72</v>
      </c>
      <c r="B32" s="33">
        <f>IF((B21*($B$26-($B$27-0.05*$B$27)-$B$60))&lt;0,0,B21*($B$26-($B$27-0.05*$B$27)-$B$60))</f>
        <v>18.69164774919955</v>
      </c>
      <c r="C32" s="34" t="s">
        <v>104</v>
      </c>
      <c r="D32" s="171"/>
    </row>
    <row r="33" spans="1:6">
      <c r="A33" s="168" t="s">
        <v>73</v>
      </c>
      <c r="B33" s="33">
        <f>IF((B22*($B$26-($B$27-0.05*$B$27)-$B$60))&lt;0,0,B22*($B$26-($B$27-0.05*$B$27)-$B$60))</f>
        <v>535.70008141073276</v>
      </c>
      <c r="C33" s="34" t="s">
        <v>104</v>
      </c>
      <c r="D33" s="171"/>
    </row>
    <row r="34" spans="1:6">
      <c r="A34" s="168" t="s">
        <v>74</v>
      </c>
      <c r="B34" s="33">
        <f>IF((B24*($B$26-($B$27-0.05*$B$27)-$B$60))&lt;0,0,B24*($B$26-($B$27-0.05*$B$27)-$B$60))</f>
        <v>106.82425768270453</v>
      </c>
      <c r="C34" s="33">
        <f>B26*C24</f>
        <v>901.13284811510664</v>
      </c>
      <c r="D34" s="230"/>
    </row>
    <row r="35" spans="1:6">
      <c r="A35" s="168" t="s">
        <v>76</v>
      </c>
      <c r="B35" s="33">
        <f>IF((B19*($B$26-($B$27-0.05*$B$27)-$B$60))&lt;0,0,B19*($B$26-($B$27-0.05*$B$27)-$B$60))</f>
        <v>55.629904015474857</v>
      </c>
      <c r="C35" s="33">
        <f>B35/2</f>
        <v>27.814952007737428</v>
      </c>
      <c r="D35" s="230"/>
    </row>
    <row r="36" spans="1:6">
      <c r="A36" s="168" t="s">
        <v>77</v>
      </c>
      <c r="B36" s="33">
        <f>IF((B18*($B$26-($B$27-0.05*$B$27)-$B$60))&lt;0,0,B18*($B$26-($B$27-0.05*$B$27)-$B$60))</f>
        <v>1919.6541091418883</v>
      </c>
      <c r="C36" s="34" t="s">
        <v>104</v>
      </c>
      <c r="D36" s="171"/>
    </row>
    <row r="37" spans="1:6">
      <c r="A37" s="168" t="s">
        <v>78</v>
      </c>
      <c r="B37" s="33">
        <f>B60</f>
        <v>13</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13</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10563.636237230618</v>
      </c>
      <c r="C5" s="17">
        <f>IF(ISERROR('Eigen informatie GS &amp; warmtenet'!B58),0,'Eigen informatie GS &amp; warmtenet'!B58)</f>
        <v>0</v>
      </c>
      <c r="D5" s="30">
        <f>SUM(D6:D12)</f>
        <v>7742.8103940000001</v>
      </c>
      <c r="E5" s="17">
        <f>SUM(E6:E12)</f>
        <v>172.32443710002616</v>
      </c>
      <c r="F5" s="17">
        <f>SUM(F6:F12)</f>
        <v>1935.0827505735515</v>
      </c>
      <c r="G5" s="18"/>
      <c r="H5" s="17"/>
      <c r="I5" s="17"/>
      <c r="J5" s="17">
        <f>SUM(J6:J12)</f>
        <v>0</v>
      </c>
      <c r="K5" s="17"/>
      <c r="L5" s="17"/>
      <c r="M5" s="17"/>
      <c r="N5" s="17">
        <f>SUM(N6:N12)</f>
        <v>325.72468305057237</v>
      </c>
      <c r="O5" s="17">
        <f>B38*B39*B40</f>
        <v>1.5633333333333335</v>
      </c>
      <c r="P5" s="17">
        <f>B46*B47*B48/1000-B46*B47*B48/1000/B49</f>
        <v>57.2</v>
      </c>
      <c r="R5" s="32"/>
    </row>
    <row r="6" spans="1:18">
      <c r="A6" s="32" t="s">
        <v>53</v>
      </c>
      <c r="B6" s="37">
        <f>B26</f>
        <v>2617.145</v>
      </c>
      <c r="C6" s="33"/>
      <c r="D6" s="37">
        <f>IF(ISERROR(TER_kantoor_gas_kWh/1000),0,TER_kantoor_gas_kWh/1000)*0.902</f>
        <v>3445.7374160000004</v>
      </c>
      <c r="E6" s="33">
        <f>$C$26*'E Balans VL '!I12/100/3.6*1000000</f>
        <v>90.532308494263106</v>
      </c>
      <c r="F6" s="33">
        <f>$C$26*('E Balans VL '!L12+'E Balans VL '!N12)/100/3.6*1000000</f>
        <v>399.53497429842088</v>
      </c>
      <c r="G6" s="34"/>
      <c r="H6" s="33"/>
      <c r="I6" s="33"/>
      <c r="J6" s="33">
        <f>$C$26*('E Balans VL '!D12+'E Balans VL '!E12)/100/3.6*1000000</f>
        <v>0</v>
      </c>
      <c r="K6" s="33"/>
      <c r="L6" s="33"/>
      <c r="M6" s="33"/>
      <c r="N6" s="33">
        <f>$C$26*'E Balans VL '!Y12/100/3.6*1000000</f>
        <v>40.34453427922039</v>
      </c>
      <c r="O6" s="33"/>
      <c r="P6" s="33"/>
      <c r="R6" s="32"/>
    </row>
    <row r="7" spans="1:18">
      <c r="A7" s="32" t="s">
        <v>52</v>
      </c>
      <c r="B7" s="37">
        <f t="shared" ref="B7:B12" si="0">B27</f>
        <v>800.48099999999999</v>
      </c>
      <c r="C7" s="33"/>
      <c r="D7" s="37">
        <f>IF(ISERROR(TER_horeca_gas_kWh/1000),0,TER_horeca_gas_kWh/1000)*0.902</f>
        <v>431.64759000000004</v>
      </c>
      <c r="E7" s="33">
        <f>$C$27*'E Balans VL '!I9/100/3.6*1000000</f>
        <v>43.868902434897727</v>
      </c>
      <c r="F7" s="33">
        <f>$C$27*('E Balans VL '!L9+'E Balans VL '!N9)/100/3.6*1000000</f>
        <v>135.46816116891313</v>
      </c>
      <c r="G7" s="34"/>
      <c r="H7" s="33"/>
      <c r="I7" s="33"/>
      <c r="J7" s="33">
        <f>$C$27*('E Balans VL '!D9+'E Balans VL '!E9)/100/3.6*1000000</f>
        <v>0</v>
      </c>
      <c r="K7" s="33"/>
      <c r="L7" s="33"/>
      <c r="M7" s="33"/>
      <c r="N7" s="33">
        <f>$C$27*'E Balans VL '!Y9/100/3.6*1000000</f>
        <v>0</v>
      </c>
      <c r="O7" s="33"/>
      <c r="P7" s="33"/>
      <c r="R7" s="32"/>
    </row>
    <row r="8" spans="1:18">
      <c r="A8" s="6" t="s">
        <v>51</v>
      </c>
      <c r="B8" s="37">
        <f t="shared" si="0"/>
        <v>5584.7860000000001</v>
      </c>
      <c r="C8" s="33"/>
      <c r="D8" s="37">
        <f>IF(ISERROR(TER_handel_gas_kWh/1000),0,TER_handel_gas_kWh/1000)*0.902</f>
        <v>1420.445246</v>
      </c>
      <c r="E8" s="33">
        <f>$C$28*'E Balans VL '!I13/100/3.6*1000000</f>
        <v>28.254385973105705</v>
      </c>
      <c r="F8" s="33">
        <f>$C$28*('E Balans VL '!L13+'E Balans VL '!N13)/100/3.6*1000000</f>
        <v>848.56455285206926</v>
      </c>
      <c r="G8" s="34"/>
      <c r="H8" s="33"/>
      <c r="I8" s="33"/>
      <c r="J8" s="33">
        <f>$C$28*('E Balans VL '!D13+'E Balans VL '!E13)/100/3.6*1000000</f>
        <v>0</v>
      </c>
      <c r="K8" s="33"/>
      <c r="L8" s="33"/>
      <c r="M8" s="33"/>
      <c r="N8" s="33">
        <f>$C$28*'E Balans VL '!Y13/100/3.6*1000000</f>
        <v>2.6115954343126386</v>
      </c>
      <c r="O8" s="33"/>
      <c r="P8" s="33"/>
      <c r="R8" s="32"/>
    </row>
    <row r="9" spans="1:18">
      <c r="A9" s="32" t="s">
        <v>50</v>
      </c>
      <c r="B9" s="37">
        <f t="shared" si="0"/>
        <v>0</v>
      </c>
      <c r="C9" s="33"/>
      <c r="D9" s="37">
        <f>IF(ISERROR(TER_gezond_gas_kWh/1000),0,TER_gezond_gas_kWh/1000)*0.902</f>
        <v>1520.7377240000001</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1345.7149999999999</v>
      </c>
      <c r="C10" s="33"/>
      <c r="D10" s="37">
        <f>IF(ISERROR(TER_ander_gas_kWh/1000),0,TER_ander_gas_kWh/1000)*0.902</f>
        <v>524.03403800000001</v>
      </c>
      <c r="E10" s="33">
        <f>$C$30*'E Balans VL '!I14/100/3.6*1000000</f>
        <v>8.1922401986625246</v>
      </c>
      <c r="F10" s="33">
        <f>$C$30*('E Balans VL '!L14+'E Balans VL '!N14)/100/3.6*1000000</f>
        <v>356.27727522448714</v>
      </c>
      <c r="G10" s="34"/>
      <c r="H10" s="33"/>
      <c r="I10" s="33"/>
      <c r="J10" s="33">
        <f>$C$30*('E Balans VL '!D14+'E Balans VL '!E14)/100/3.6*1000000</f>
        <v>0</v>
      </c>
      <c r="K10" s="33"/>
      <c r="L10" s="33"/>
      <c r="M10" s="33"/>
      <c r="N10" s="33">
        <f>$C$30*'E Balans VL '!Y14/100/3.6*1000000</f>
        <v>280.27753507883085</v>
      </c>
      <c r="O10" s="33"/>
      <c r="P10" s="33"/>
      <c r="R10" s="32"/>
    </row>
    <row r="11" spans="1:18">
      <c r="A11" s="32" t="s">
        <v>54</v>
      </c>
      <c r="B11" s="37">
        <f t="shared" si="0"/>
        <v>155.60599999999999</v>
      </c>
      <c r="C11" s="33"/>
      <c r="D11" s="37">
        <f>IF(ISERROR(TER_onderwijs_gas_kWh/1000),0,TER_onderwijs_gas_kWh/1000)*0.902</f>
        <v>400.20838000000003</v>
      </c>
      <c r="E11" s="33">
        <f>$C$31*'E Balans VL '!I11/100/3.6*1000000</f>
        <v>0.19312051836280009</v>
      </c>
      <c r="F11" s="33">
        <f>$C$31*('E Balans VL '!L11+'E Balans VL '!N11)/100/3.6*1000000</f>
        <v>183.3898180096821</v>
      </c>
      <c r="G11" s="34"/>
      <c r="H11" s="33"/>
      <c r="I11" s="33"/>
      <c r="J11" s="33">
        <f>$C$31*('E Balans VL '!D11+'E Balans VL '!E11)/100/3.6*1000000</f>
        <v>0</v>
      </c>
      <c r="K11" s="33"/>
      <c r="L11" s="33"/>
      <c r="M11" s="33"/>
      <c r="N11" s="33">
        <f>$C$31*'E Balans VL '!Y11/100/3.6*1000000</f>
        <v>0.74689426690641603</v>
      </c>
      <c r="O11" s="33"/>
      <c r="P11" s="33"/>
      <c r="R11" s="32"/>
    </row>
    <row r="12" spans="1:18">
      <c r="A12" s="32" t="s">
        <v>249</v>
      </c>
      <c r="B12" s="37">
        <f t="shared" si="0"/>
        <v>59.903237230617002</v>
      </c>
      <c r="C12" s="33"/>
      <c r="D12" s="37">
        <f>IF(ISERROR(TER_rest_gas_kWh/1000),0,TER_rest_gas_kWh/1000)*0.902</f>
        <v>0</v>
      </c>
      <c r="E12" s="33">
        <f>$C$32*'E Balans VL '!I8/100/3.6*1000000</f>
        <v>1.2834794807342988</v>
      </c>
      <c r="F12" s="33">
        <f>$C$32*('E Balans VL '!L8+'E Balans VL '!N8)/100/3.6*1000000</f>
        <v>11.847969019979002</v>
      </c>
      <c r="G12" s="34"/>
      <c r="H12" s="33"/>
      <c r="I12" s="33"/>
      <c r="J12" s="33">
        <f>$C$32*('E Balans VL '!D8+'E Balans VL '!E8)/100/3.6*1000000</f>
        <v>0</v>
      </c>
      <c r="K12" s="33"/>
      <c r="L12" s="33"/>
      <c r="M12" s="33"/>
      <c r="N12" s="33">
        <f>$C$32*'E Balans VL '!Y8/100/3.6*1000000</f>
        <v>1.7441239913021309</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10563.636237230618</v>
      </c>
      <c r="C16" s="21">
        <f ca="1">C5+C13+C14</f>
        <v>0</v>
      </c>
      <c r="D16" s="21">
        <f t="shared" ref="D16:N16" ca="1" si="1">MAX((D5+D13+D14),0)</f>
        <v>7742.8103940000001</v>
      </c>
      <c r="E16" s="21">
        <f t="shared" si="1"/>
        <v>172.32443710002616</v>
      </c>
      <c r="F16" s="21">
        <f t="shared" ca="1" si="1"/>
        <v>1935.0827505735515</v>
      </c>
      <c r="G16" s="21">
        <f t="shared" si="1"/>
        <v>0</v>
      </c>
      <c r="H16" s="21">
        <f t="shared" si="1"/>
        <v>0</v>
      </c>
      <c r="I16" s="21">
        <f t="shared" si="1"/>
        <v>0</v>
      </c>
      <c r="J16" s="21">
        <f t="shared" si="1"/>
        <v>0</v>
      </c>
      <c r="K16" s="21">
        <f t="shared" si="1"/>
        <v>0</v>
      </c>
      <c r="L16" s="21">
        <f t="shared" ca="1" si="1"/>
        <v>0</v>
      </c>
      <c r="M16" s="21">
        <f t="shared" si="1"/>
        <v>0</v>
      </c>
      <c r="N16" s="21">
        <f t="shared" ca="1" si="1"/>
        <v>325.72468305057237</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0.21022257913638873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2220.7148548492373</v>
      </c>
      <c r="C20" s="23">
        <f t="shared" ref="C20:P20" ca="1" si="2">C16*C18</f>
        <v>0</v>
      </c>
      <c r="D20" s="23">
        <f t="shared" ca="1" si="2"/>
        <v>1564.0476995880001</v>
      </c>
      <c r="E20" s="23">
        <f t="shared" si="2"/>
        <v>39.117647221705937</v>
      </c>
      <c r="F20" s="23">
        <f t="shared" ca="1" si="2"/>
        <v>516.66709440313832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2617.145</v>
      </c>
      <c r="C26" s="39">
        <f>IF(ISERROR(B26*3.6/1000000/'E Balans VL '!Z12*100),0,B26*3.6/1000000/'E Balans VL '!Z12*100)</f>
        <v>5.4425377145287182E-2</v>
      </c>
      <c r="D26" s="233" t="s">
        <v>676</v>
      </c>
      <c r="F26" s="6"/>
    </row>
    <row r="27" spans="1:18">
      <c r="A27" s="228" t="s">
        <v>52</v>
      </c>
      <c r="B27" s="33">
        <f>IF(ISERROR(TER_horeca_ele_kWh/1000),0,TER_horeca_ele_kWh/1000)</f>
        <v>800.48099999999999</v>
      </c>
      <c r="C27" s="39">
        <f>IF(ISERROR(B27*3.6/1000000/'E Balans VL '!Z9*100),0,B27*3.6/1000000/'E Balans VL '!Z9*100)</f>
        <v>6.5840130311259973E-2</v>
      </c>
      <c r="D27" s="233" t="s">
        <v>676</v>
      </c>
      <c r="F27" s="6"/>
    </row>
    <row r="28" spans="1:18">
      <c r="A28" s="168" t="s">
        <v>51</v>
      </c>
      <c r="B28" s="33">
        <f>IF(ISERROR(TER_handel_ele_kWh/1000),0,TER_handel_ele_kWh/1000)</f>
        <v>5584.7860000000001</v>
      </c>
      <c r="C28" s="39">
        <f>IF(ISERROR(B28*3.6/1000000/'E Balans VL '!Z13*100),0,B28*3.6/1000000/'E Balans VL '!Z13*100)</f>
        <v>0.1545857846836117</v>
      </c>
      <c r="D28" s="233" t="s">
        <v>676</v>
      </c>
      <c r="F28" s="6"/>
    </row>
    <row r="29" spans="1:18">
      <c r="A29" s="228" t="s">
        <v>50</v>
      </c>
      <c r="B29" s="33">
        <f>IF(ISERROR(TER_gezond_ele_kWh/1000),0,TER_gezond_ele_kWh/1000)</f>
        <v>0</v>
      </c>
      <c r="C29" s="39">
        <f>IF(ISERROR(B29*3.6/1000000/'E Balans VL '!Z10*100),0,B29*3.6/1000000/'E Balans VL '!Z10*100)</f>
        <v>0</v>
      </c>
      <c r="D29" s="233" t="s">
        <v>676</v>
      </c>
      <c r="F29" s="6"/>
    </row>
    <row r="30" spans="1:18">
      <c r="A30" s="228" t="s">
        <v>49</v>
      </c>
      <c r="B30" s="33">
        <f>IF(ISERROR(TER_ander_ele_kWh/1000),0,TER_ander_ele_kWh/1000)</f>
        <v>1345.7149999999999</v>
      </c>
      <c r="C30" s="39">
        <f>IF(ISERROR(B30*3.6/1000000/'E Balans VL '!Z14*100),0,B30*3.6/1000000/'E Balans VL '!Z14*100)</f>
        <v>0.10416199128641783</v>
      </c>
      <c r="D30" s="233" t="s">
        <v>676</v>
      </c>
      <c r="F30" s="6"/>
    </row>
    <row r="31" spans="1:18">
      <c r="A31" s="228" t="s">
        <v>54</v>
      </c>
      <c r="B31" s="33">
        <f>IF(ISERROR(TER_onderwijs_ele_kWh/1000),0,TER_onderwijs_ele_kWh/1000)</f>
        <v>155.60599999999999</v>
      </c>
      <c r="C31" s="39">
        <f>IF(ISERROR(B31*3.6/1000000/'E Balans VL '!Z11*100),0,B31*3.6/1000000/'E Balans VL '!Z11*100)</f>
        <v>4.8483886199702432E-2</v>
      </c>
      <c r="D31" s="233" t="s">
        <v>676</v>
      </c>
    </row>
    <row r="32" spans="1:18">
      <c r="A32" s="228" t="s">
        <v>249</v>
      </c>
      <c r="B32" s="33">
        <f>IF(ISERROR(TER_rest_ele_kWh/1000),0,TER_rest_ele_kWh/1000)</f>
        <v>59.903237230617002</v>
      </c>
      <c r="C32" s="39">
        <f>IF(ISERROR(B32*3.6/1000000/'E Balans VL '!Z8*100),0,B32*3.6/1000000/'E Balans VL '!Z8*100)</f>
        <v>4.939668685118978E-4</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3</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4664.8761479613786</v>
      </c>
      <c r="C5" s="17">
        <f>IF(ISERROR('Eigen informatie GS &amp; warmtenet'!B59),0,'Eigen informatie GS &amp; warmtenet'!B59)</f>
        <v>0</v>
      </c>
      <c r="D5" s="30">
        <f>SUM(D6:D15)</f>
        <v>1349.0708880000002</v>
      </c>
      <c r="E5" s="17">
        <f>SUM(E6:E15)</f>
        <v>92.137539647227783</v>
      </c>
      <c r="F5" s="17">
        <f>SUM(F6:F15)</f>
        <v>1312.0808373918967</v>
      </c>
      <c r="G5" s="18"/>
      <c r="H5" s="17"/>
      <c r="I5" s="17"/>
      <c r="J5" s="17">
        <f>SUM(J6:J15)</f>
        <v>20.625877659450008</v>
      </c>
      <c r="K5" s="17"/>
      <c r="L5" s="17"/>
      <c r="M5" s="17"/>
      <c r="N5" s="17">
        <f>SUM(N6:N15)</f>
        <v>76.759707673837752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654.447</v>
      </c>
      <c r="C8" s="33"/>
      <c r="D8" s="37">
        <f>IF( ISERROR(IND_metaal_Gas_kWH/1000),0,IND_metaal_Gas_kWH/1000)*0.902</f>
        <v>458.88979400000005</v>
      </c>
      <c r="E8" s="33">
        <f>C30*'E Balans VL '!I18/100/3.6*1000000</f>
        <v>4.598654671819344</v>
      </c>
      <c r="F8" s="33">
        <f>C30*'E Balans VL '!L18/100/3.6*1000000+C30*'E Balans VL '!N18/100/3.6*1000000</f>
        <v>71.854451708177777</v>
      </c>
      <c r="G8" s="34"/>
      <c r="H8" s="33"/>
      <c r="I8" s="33"/>
      <c r="J8" s="40">
        <f>C30*'E Balans VL '!D18/100/3.6*1000000+C30*'E Balans VL '!E18/100/3.6*1000000</f>
        <v>13.502652199679277</v>
      </c>
      <c r="K8" s="33"/>
      <c r="L8" s="33"/>
      <c r="M8" s="33"/>
      <c r="N8" s="33">
        <f>C30*'E Balans VL '!Y18/100/3.6*1000000</f>
        <v>2.4529144892223842</v>
      </c>
      <c r="O8" s="33"/>
      <c r="P8" s="33"/>
      <c r="R8" s="32"/>
    </row>
    <row r="9" spans="1:18">
      <c r="A9" s="6" t="s">
        <v>32</v>
      </c>
      <c r="B9" s="37">
        <f t="shared" si="0"/>
        <v>731.96299999999997</v>
      </c>
      <c r="C9" s="33"/>
      <c r="D9" s="37">
        <f>IF( ISERROR(IND_andere_gas_kWh/1000),0,IND_andere_gas_kWh/1000)*0.902</f>
        <v>170.02249</v>
      </c>
      <c r="E9" s="33">
        <f>C31*'E Balans VL '!I19/100/3.6*1000000</f>
        <v>12.294215268304503</v>
      </c>
      <c r="F9" s="33">
        <f>C31*'E Balans VL '!L19/100/3.6*1000000+C31*'E Balans VL '!N19/100/3.6*1000000</f>
        <v>572.20698390037387</v>
      </c>
      <c r="G9" s="34"/>
      <c r="H9" s="33"/>
      <c r="I9" s="33"/>
      <c r="J9" s="40">
        <f>C31*'E Balans VL '!D19/100/3.6*1000000+C31*'E Balans VL '!E19/100/3.6*1000000</f>
        <v>6.6016601280856402E-2</v>
      </c>
      <c r="K9" s="33"/>
      <c r="L9" s="33"/>
      <c r="M9" s="33"/>
      <c r="N9" s="33">
        <f>C31*'E Balans VL '!Y19/100/3.6*1000000</f>
        <v>54.250201612485853</v>
      </c>
      <c r="O9" s="33"/>
      <c r="P9" s="33"/>
      <c r="R9" s="32"/>
    </row>
    <row r="10" spans="1:18">
      <c r="A10" s="6" t="s">
        <v>40</v>
      </c>
      <c r="B10" s="37">
        <f t="shared" si="0"/>
        <v>323.57</v>
      </c>
      <c r="C10" s="33"/>
      <c r="D10" s="37">
        <f>IF( ISERROR(IND_voed_gas_kWh/1000),0,IND_voed_gas_kWh/1000)*0.902</f>
        <v>0</v>
      </c>
      <c r="E10" s="33">
        <f>C32*'E Balans VL '!I20/100/3.6*1000000</f>
        <v>2.9521182204929648</v>
      </c>
      <c r="F10" s="33">
        <f>C32*'E Balans VL '!L20/100/3.6*1000000+C32*'E Balans VL '!N20/100/3.6*1000000</f>
        <v>52.201961677317357</v>
      </c>
      <c r="G10" s="34"/>
      <c r="H10" s="33"/>
      <c r="I10" s="33"/>
      <c r="J10" s="40">
        <f>C32*'E Balans VL '!D20/100/3.6*1000000+C32*'E Balans VL '!E20/100/3.6*1000000</f>
        <v>1.3326734027607874</v>
      </c>
      <c r="K10" s="33"/>
      <c r="L10" s="33"/>
      <c r="M10" s="33"/>
      <c r="N10" s="33">
        <f>C32*'E Balans VL '!Y20/100/3.6*1000000</f>
        <v>4.7335739578941647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2099.7220000000002</v>
      </c>
      <c r="C13" s="33"/>
      <c r="D13" s="37">
        <f>IF( ISERROR(IND_papier_gas_kWh/1000),0,IND_papier_gas_kWh/1000)*0.902</f>
        <v>0</v>
      </c>
      <c r="E13" s="33">
        <f>C35*'E Balans VL '!I23/100/3.6*1000000</f>
        <v>64.602966153623512</v>
      </c>
      <c r="F13" s="33">
        <f>C35*'E Balans VL '!L23/100/3.6*1000000+C35*'E Balans VL '!N23/100/3.6*1000000</f>
        <v>445.8443615483784</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4.9980000000000002</v>
      </c>
      <c r="C14" s="33"/>
      <c r="D14" s="37">
        <f>IF( ISERROR(IND_chemie_gas_kWh/1000),0,IND_chemie_gas_kWh/1000)*0.902</f>
        <v>0</v>
      </c>
      <c r="E14" s="33">
        <f>C36*'E Balans VL '!I24/100/3.6*1000000</f>
        <v>1.6946662455940842E-2</v>
      </c>
      <c r="F14" s="33">
        <f>C36*'E Balans VL '!L24/100/3.6*1000000+C36*'E Balans VL '!N24/100/3.6*1000000</f>
        <v>1.6039792945873488E-2</v>
      </c>
      <c r="G14" s="34"/>
      <c r="H14" s="33"/>
      <c r="I14" s="33"/>
      <c r="J14" s="40">
        <f>C36*'E Balans VL '!D24/100/3.6*1000000+C36*'E Balans VL '!E24/100/3.6*1000000</f>
        <v>0</v>
      </c>
      <c r="K14" s="33"/>
      <c r="L14" s="33"/>
      <c r="M14" s="33"/>
      <c r="N14" s="33">
        <f>C36*'E Balans VL '!Y24/100/3.6*1000000</f>
        <v>2.3369293517900101E-2</v>
      </c>
      <c r="O14" s="33"/>
      <c r="P14" s="33"/>
      <c r="R14" s="32"/>
    </row>
    <row r="15" spans="1:18">
      <c r="A15" s="6" t="s">
        <v>259</v>
      </c>
      <c r="B15" s="37">
        <f t="shared" si="0"/>
        <v>850.17614796137866</v>
      </c>
      <c r="C15" s="33"/>
      <c r="D15" s="37">
        <f>IF( ISERROR(IND_rest_gas_kWh/1000),0,IND_rest_gas_kWh/1000)*0.902</f>
        <v>720.15860400000008</v>
      </c>
      <c r="E15" s="33">
        <f>C37*'E Balans VL '!I15/100/3.6*1000000</f>
        <v>7.6726386705315193</v>
      </c>
      <c r="F15" s="33">
        <f>C37*'E Balans VL '!L15/100/3.6*1000000+C37*'E Balans VL '!N15/100/3.6*1000000</f>
        <v>169.9570387647037</v>
      </c>
      <c r="G15" s="34"/>
      <c r="H15" s="33"/>
      <c r="I15" s="33"/>
      <c r="J15" s="40">
        <f>C37*'E Balans VL '!D15/100/3.6*1000000+C37*'E Balans VL '!E15/100/3.6*1000000</f>
        <v>5.7245354557290877</v>
      </c>
      <c r="K15" s="33"/>
      <c r="L15" s="33"/>
      <c r="M15" s="33"/>
      <c r="N15" s="33">
        <f>C37*'E Balans VL '!Y15/100/3.6*1000000</f>
        <v>15.299648320717445</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4664.8761479613786</v>
      </c>
      <c r="C18" s="21">
        <f>C5+C16</f>
        <v>0</v>
      </c>
      <c r="D18" s="21">
        <f>MAX((D5+D16),0)</f>
        <v>1349.0708880000002</v>
      </c>
      <c r="E18" s="21">
        <f>MAX((E5+E16),0)</f>
        <v>92.137539647227783</v>
      </c>
      <c r="F18" s="21">
        <f>MAX((F5+F16),0)</f>
        <v>1312.0808373918967</v>
      </c>
      <c r="G18" s="21"/>
      <c r="H18" s="21"/>
      <c r="I18" s="21"/>
      <c r="J18" s="21">
        <f>MAX((J5+J16),0)</f>
        <v>20.625877659450008</v>
      </c>
      <c r="K18" s="21"/>
      <c r="L18" s="21">
        <f>MAX((L5+L16),0)</f>
        <v>0</v>
      </c>
      <c r="M18" s="21"/>
      <c r="N18" s="21">
        <f>MAX((N5+N16),0)</f>
        <v>76.759707673837752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0.21022257913638873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980.66229517626311</v>
      </c>
      <c r="C22" s="23">
        <f ca="1">C18*C20</f>
        <v>0</v>
      </c>
      <c r="D22" s="23">
        <f>D18*D20</f>
        <v>272.51231937600005</v>
      </c>
      <c r="E22" s="23">
        <f>E18*E20</f>
        <v>20.915221499920708</v>
      </c>
      <c r="F22" s="23">
        <f>F18*F20</f>
        <v>350.32558358363644</v>
      </c>
      <c r="G22" s="23"/>
      <c r="H22" s="23"/>
      <c r="I22" s="23"/>
      <c r="J22" s="23">
        <f>J18*J20</f>
        <v>7.3015606914453022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654.447</v>
      </c>
      <c r="C30" s="39">
        <f>IF(ISERROR(B30*3.6/1000000/'E Balans VL '!Z18*100),0,B30*3.6/1000000/'E Balans VL '!Z18*100)</f>
        <v>4.3566936428827224E-2</v>
      </c>
      <c r="D30" s="233" t="s">
        <v>676</v>
      </c>
    </row>
    <row r="31" spans="1:18">
      <c r="A31" s="6" t="s">
        <v>32</v>
      </c>
      <c r="B31" s="37">
        <f>IF( ISERROR(IND_ander_ele_kWh/1000),0,IND_ander_ele_kWh/1000)</f>
        <v>731.96299999999997</v>
      </c>
      <c r="C31" s="39">
        <f>IF(ISERROR(B31*3.6/1000000/'E Balans VL '!Z19*100),0,B31*3.6/1000000/'E Balans VL '!Z19*100)</f>
        <v>3.2445019059533522E-2</v>
      </c>
      <c r="D31" s="233" t="s">
        <v>676</v>
      </c>
    </row>
    <row r="32" spans="1:18">
      <c r="A32" s="168" t="s">
        <v>40</v>
      </c>
      <c r="B32" s="37">
        <f>IF( ISERROR(IND_voed_ele_kWh/1000),0,IND_voed_ele_kWh/1000)</f>
        <v>323.57</v>
      </c>
      <c r="C32" s="39">
        <f>IF(ISERROR(B32*3.6/1000000/'E Balans VL '!Z20*100),0,B32*3.6/1000000/'E Balans VL '!Z20*100)</f>
        <v>1.0808166202197159E-2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2099.7220000000002</v>
      </c>
      <c r="C35" s="39">
        <f>IF(ISERROR(B35*3.6/1000000/'E Balans VL '!Z22*100),0,B35*3.6/1000000/'E Balans VL '!Z22*100)</f>
        <v>0.40837286486487478</v>
      </c>
      <c r="D35" s="233" t="s">
        <v>676</v>
      </c>
    </row>
    <row r="36" spans="1:5">
      <c r="A36" s="168" t="s">
        <v>33</v>
      </c>
      <c r="B36" s="37">
        <f>IF( ISERROR(IND_chemie_ele_kWh/1000),0,IND_chemie_ele_kWh/1000)</f>
        <v>4.9980000000000002</v>
      </c>
      <c r="C36" s="39">
        <f>IF(ISERROR(B36*3.6/1000000/'E Balans VL '!Z24*100),0,B36*3.6/1000000/'E Balans VL '!Z24*100)</f>
        <v>1.1736650160517393E-4</v>
      </c>
      <c r="D36" s="233" t="s">
        <v>676</v>
      </c>
    </row>
    <row r="37" spans="1:5">
      <c r="A37" s="168" t="s">
        <v>259</v>
      </c>
      <c r="B37" s="37">
        <f>IF( ISERROR(IND_rest_ele_kWh/1000),0,IND_rest_ele_kWh/1000)</f>
        <v>850.17614796137866</v>
      </c>
      <c r="C37" s="39">
        <f>IF(ISERROR(B37*3.6/1000000/'E Balans VL '!Z15*100),0,B37*3.6/1000000/'E Balans VL '!Z15*100)</f>
        <v>6.3239254854110328E-3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1739.268</v>
      </c>
      <c r="C5" s="17">
        <f>'Eigen informatie GS &amp; warmtenet'!B60</f>
        <v>0</v>
      </c>
      <c r="D5" s="30">
        <f>IF(ISERROR(SUM(LB_lb_gas_kWh,LB_rest_gas_kWh)/1000),0,SUM(LB_lb_gas_kWh,LB_rest_gas_kWh)/1000)*0.902</f>
        <v>69.142809999999997</v>
      </c>
      <c r="E5" s="17">
        <f>B17*'E Balans VL '!I25/3.6*1000000/100</f>
        <v>15.673011616577057</v>
      </c>
      <c r="F5" s="17">
        <f>B17*('E Balans VL '!L25/3.6*1000000+'E Balans VL '!N25/3.6*1000000)/100</f>
        <v>6517.0902419174508</v>
      </c>
      <c r="G5" s="18"/>
      <c r="H5" s="17"/>
      <c r="I5" s="17"/>
      <c r="J5" s="17">
        <f>('E Balans VL '!D25+'E Balans VL '!E25)/3.6*1000000*landbouw!B17/100</f>
        <v>176.00672818841554</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1739.268</v>
      </c>
      <c r="C8" s="21">
        <f>C5+C6</f>
        <v>0</v>
      </c>
      <c r="D8" s="21">
        <f>MAX((D5+D6),0)</f>
        <v>69.142809999999997</v>
      </c>
      <c r="E8" s="21">
        <f>MAX((E5+E6),0)</f>
        <v>15.673011616577057</v>
      </c>
      <c r="F8" s="21">
        <f>MAX((F5+F6),0)</f>
        <v>6517.0902419174508</v>
      </c>
      <c r="G8" s="21"/>
      <c r="H8" s="21"/>
      <c r="I8" s="21"/>
      <c r="J8" s="21">
        <f>MAX((J5+J6),0)</f>
        <v>176.00672818841554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0.21022257913638873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365.63340476938856</v>
      </c>
      <c r="C12" s="23">
        <f ca="1">C8*C10</f>
        <v>0</v>
      </c>
      <c r="D12" s="23">
        <f>D8*D10</f>
        <v>13.966847620000001</v>
      </c>
      <c r="E12" s="23">
        <f>E8*E10</f>
        <v>3.5577736369629922</v>
      </c>
      <c r="F12" s="23">
        <f>F8*F10</f>
        <v>1740.0630945919595</v>
      </c>
      <c r="G12" s="23"/>
      <c r="H12" s="23"/>
      <c r="I12" s="23"/>
      <c r="J12" s="23">
        <f>J8*J10</f>
        <v>62.306381778699098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0.26770691927683693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10.939246610772525</v>
      </c>
      <c r="C26" s="243">
        <f>B26*'GWP N2O_CH4'!B5</f>
        <v>229.72417882622301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0.75555663552778551</v>
      </c>
      <c r="C27" s="243">
        <f>B27*'GWP N2O_CH4'!B5</f>
        <v>15.866689346083495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0.18120853564839878</v>
      </c>
      <c r="C28" s="243">
        <f>B28*'GWP N2O_CH4'!B4</f>
        <v>56.17464605100362</v>
      </c>
      <c r="D28" s="50"/>
    </row>
    <row r="29" spans="1:4">
      <c r="A29" s="41" t="s">
        <v>266</v>
      </c>
      <c r="B29" s="243">
        <f>B34*'ha_N2O bodem landbouw'!B4</f>
        <v>7.8172283147150834</v>
      </c>
      <c r="C29" s="243">
        <f>B29*'GWP N2O_CH4'!B4</f>
        <v>2423.3407775616761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2.0295949136715894E-3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2.6517068135365632E-6</v>
      </c>
      <c r="C5" s="431" t="s">
        <v>204</v>
      </c>
      <c r="D5" s="416">
        <f>SUM(D6:D11)</f>
        <v>9.5153916888349999E-6</v>
      </c>
      <c r="E5" s="416">
        <f>SUM(E6:E11)</f>
        <v>9.6584715466907414E-4</v>
      </c>
      <c r="F5" s="429" t="s">
        <v>204</v>
      </c>
      <c r="G5" s="416">
        <f>SUM(G6:G11)</f>
        <v>0.17972449399868129</v>
      </c>
      <c r="H5" s="416">
        <f>SUM(H6:H11)</f>
        <v>3.2423411895004965E-2</v>
      </c>
      <c r="I5" s="431" t="s">
        <v>204</v>
      </c>
      <c r="J5" s="431" t="s">
        <v>204</v>
      </c>
      <c r="K5" s="431" t="s">
        <v>204</v>
      </c>
      <c r="L5" s="431" t="s">
        <v>204</v>
      </c>
      <c r="M5" s="416">
        <f>SUM(M6:M11)</f>
        <v>9.2346729018677985E-3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1.8524292964544247E-6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5.8471502184095304E-6</v>
      </c>
      <c r="E6" s="419">
        <f>vkm_GW_PW*SUMIFS(TableVerdeelsleutelVkm[LPG],TableVerdeelsleutelVkm[Voertuigtype],"Lichte voertuigen")*SUMIFS(TableECFTransport[EnergieConsumptieFactor (PJ per km)],TableECFTransport[Index],CONCATENATE($A6,"_LPG_LPG"))</f>
        <v>6.0727603154921541E-4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8.1060718410174523E-2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2.0358959280930351E-2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4.4290516756268919E-3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1.0428495445424399E-7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4.7009105410530341E-2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1.3832125349154365E-6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2.0251768923492167E-3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6.8518569231830905E-7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3.6682414704254695E-6</v>
      </c>
      <c r="E8" s="419">
        <f>vkm_NGW_PW*SUMIFS(TableVerdeelsleutelVkm[LPG],TableVerdeelsleutelVkm[Voertuigtype],"Lichte voertuigen")*SUMIFS(TableECFTransport[EnergieConsumptieFactor (PJ per km)],TableECFTransport[Index],CONCATENATE($A8,"_LPG_LPG"))</f>
        <v>3.5857112311985873E-4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4.5531310372700168E-2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1.206291239630284E-2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2.5166478514685921E-3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9.8068703095856665E-9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6.1233598052762572E-3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1.5700523685992905E-7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2.6379648242309784E-4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0.73658522598237863</v>
      </c>
      <c r="C14" s="21"/>
      <c r="D14" s="21">
        <f t="shared" ref="D14:M14" si="0">((D5)*10^9/3600)+D12</f>
        <v>2.6431643580097219</v>
      </c>
      <c r="E14" s="21">
        <f t="shared" si="0"/>
        <v>268.29087629696505</v>
      </c>
      <c r="F14" s="21"/>
      <c r="G14" s="21">
        <f t="shared" si="0"/>
        <v>49923.47055518924</v>
      </c>
      <c r="H14" s="21">
        <f t="shared" si="0"/>
        <v>9006.5033041680454</v>
      </c>
      <c r="I14" s="21"/>
      <c r="J14" s="21"/>
      <c r="K14" s="21"/>
      <c r="L14" s="21"/>
      <c r="M14" s="21">
        <f t="shared" si="0"/>
        <v>2565.1869171854992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0.21022257913638873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0.15484684595977535</v>
      </c>
      <c r="C18" s="23"/>
      <c r="D18" s="23">
        <f t="shared" ref="D18:M18" si="1">D14*D16</f>
        <v>0.53391920031796392</v>
      </c>
      <c r="E18" s="23">
        <f t="shared" si="1"/>
        <v>60.902028919411066</v>
      </c>
      <c r="F18" s="23"/>
      <c r="G18" s="23">
        <f t="shared" si="1"/>
        <v>13329.566638235528</v>
      </c>
      <c r="H18" s="23">
        <f t="shared" si="1"/>
        <v>2242.6193227378435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5.0359231161664263E-5</v>
      </c>
      <c r="C50" s="313">
        <f t="shared" ref="C50:P50" si="2">SUM(C51:C52)</f>
        <v>0</v>
      </c>
      <c r="D50" s="313">
        <f t="shared" si="2"/>
        <v>0</v>
      </c>
      <c r="E50" s="313">
        <f t="shared" si="2"/>
        <v>0</v>
      </c>
      <c r="F50" s="313">
        <f t="shared" si="2"/>
        <v>0</v>
      </c>
      <c r="G50" s="313">
        <f t="shared" si="2"/>
        <v>1.0924929600975367E-2</v>
      </c>
      <c r="H50" s="313">
        <f t="shared" si="2"/>
        <v>0</v>
      </c>
      <c r="I50" s="313">
        <f t="shared" si="2"/>
        <v>0</v>
      </c>
      <c r="J50" s="313">
        <f t="shared" si="2"/>
        <v>0</v>
      </c>
      <c r="K50" s="313">
        <f t="shared" si="2"/>
        <v>0</v>
      </c>
      <c r="L50" s="313">
        <f t="shared" si="2"/>
        <v>0</v>
      </c>
      <c r="M50" s="313">
        <f t="shared" si="2"/>
        <v>4.6776352013855744E-4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5.0359231161664263E-5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1.0924929600975367E-2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4.6776352013855744E-4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13.988675322684518</v>
      </c>
      <c r="C54" s="21">
        <f t="shared" ref="C54:P54" si="3">(C50)*10^9/3600</f>
        <v>0</v>
      </c>
      <c r="D54" s="21">
        <f t="shared" si="3"/>
        <v>0</v>
      </c>
      <c r="E54" s="21">
        <f t="shared" si="3"/>
        <v>0</v>
      </c>
      <c r="F54" s="21">
        <f t="shared" si="3"/>
        <v>0</v>
      </c>
      <c r="G54" s="21">
        <f t="shared" si="3"/>
        <v>3034.7026669376019</v>
      </c>
      <c r="H54" s="21">
        <f t="shared" si="3"/>
        <v>0</v>
      </c>
      <c r="I54" s="21">
        <f t="shared" si="3"/>
        <v>0</v>
      </c>
      <c r="J54" s="21">
        <f t="shared" si="3"/>
        <v>0</v>
      </c>
      <c r="K54" s="21">
        <f t="shared" si="3"/>
        <v>0</v>
      </c>
      <c r="L54" s="21">
        <f t="shared" si="3"/>
        <v>0</v>
      </c>
      <c r="M54" s="21">
        <f t="shared" si="3"/>
        <v>129.9343111495993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0.21022257913638873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2.9407354050362944</v>
      </c>
      <c r="C58" s="23">
        <f t="shared" ref="C58:P58" ca="1" si="4">C54*C56</f>
        <v>0</v>
      </c>
      <c r="D58" s="23">
        <f t="shared" si="4"/>
        <v>0</v>
      </c>
      <c r="E58" s="23">
        <f t="shared" si="4"/>
        <v>0</v>
      </c>
      <c r="F58" s="23">
        <f t="shared" si="4"/>
        <v>0</v>
      </c>
      <c r="G58" s="23">
        <f t="shared" si="4"/>
        <v>810.26561207233976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136</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2044.5128013742369</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2180.5128013742369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11826.301237230618</v>
      </c>
      <c r="D10" s="635">
        <f ca="1">tertiair!C16</f>
        <v>0</v>
      </c>
      <c r="E10" s="635">
        <f ca="1">tertiair!D16</f>
        <v>7742.8103940000001</v>
      </c>
      <c r="F10" s="635">
        <f>tertiair!E16</f>
        <v>172.32443710002616</v>
      </c>
      <c r="G10" s="635">
        <f ca="1">tertiair!F16</f>
        <v>1935.0827505735515</v>
      </c>
      <c r="H10" s="635">
        <f>tertiair!G16</f>
        <v>0</v>
      </c>
      <c r="I10" s="635">
        <f>tertiair!H16</f>
        <v>0</v>
      </c>
      <c r="J10" s="635">
        <f>tertiair!I16</f>
        <v>0</v>
      </c>
      <c r="K10" s="635">
        <f>tertiair!J16</f>
        <v>0</v>
      </c>
      <c r="L10" s="635">
        <f>tertiair!K16</f>
        <v>0</v>
      </c>
      <c r="M10" s="635">
        <f ca="1">tertiair!L16</f>
        <v>0</v>
      </c>
      <c r="N10" s="635">
        <f>tertiair!M16</f>
        <v>0</v>
      </c>
      <c r="O10" s="635">
        <f ca="1">tertiair!N16</f>
        <v>325.72468305057237</v>
      </c>
      <c r="P10" s="635">
        <f>tertiair!O16</f>
        <v>1.5633333333333335</v>
      </c>
      <c r="Q10" s="636">
        <f>tertiair!P16</f>
        <v>57.2</v>
      </c>
      <c r="R10" s="638">
        <f ca="1">SUM(C10:Q10)</f>
        <v>22061.006835288099</v>
      </c>
      <c r="S10" s="67"/>
    </row>
    <row r="11" spans="1:19" s="441" customFormat="1">
      <c r="A11" s="749" t="s">
        <v>214</v>
      </c>
      <c r="B11" s="754"/>
      <c r="C11" s="635">
        <f>huishoudens!B8</f>
        <v>23317.80225126565</v>
      </c>
      <c r="D11" s="635">
        <f>huishoudens!C8</f>
        <v>0</v>
      </c>
      <c r="E11" s="635">
        <f>huishoudens!D8</f>
        <v>33877.443182000003</v>
      </c>
      <c r="F11" s="635">
        <f>huishoudens!E8</f>
        <v>1272.5942943235957</v>
      </c>
      <c r="G11" s="635">
        <f>huishoudens!F8</f>
        <v>43439.237133535658</v>
      </c>
      <c r="H11" s="635">
        <f>huishoudens!G8</f>
        <v>0</v>
      </c>
      <c r="I11" s="635">
        <f>huishoudens!H8</f>
        <v>0</v>
      </c>
      <c r="J11" s="635">
        <f>huishoudens!I8</f>
        <v>0</v>
      </c>
      <c r="K11" s="635">
        <f>huishoudens!J8</f>
        <v>978.14148930607985</v>
      </c>
      <c r="L11" s="635">
        <f>huishoudens!K8</f>
        <v>0</v>
      </c>
      <c r="M11" s="635">
        <f>huishoudens!L8</f>
        <v>0</v>
      </c>
      <c r="N11" s="635">
        <f>huishoudens!M8</f>
        <v>0</v>
      </c>
      <c r="O11" s="635">
        <f>huishoudens!N8</f>
        <v>5600.253855896055</v>
      </c>
      <c r="P11" s="635">
        <f>huishoudens!O8</f>
        <v>65.660000000000011</v>
      </c>
      <c r="Q11" s="636">
        <f>huishoudens!P8</f>
        <v>247.86666666666667</v>
      </c>
      <c r="R11" s="638">
        <f>SUM(C11:Q11)</f>
        <v>108798.9988729937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4664.8761479613786</v>
      </c>
      <c r="D13" s="635">
        <f>industrie!C18</f>
        <v>0</v>
      </c>
      <c r="E13" s="635">
        <f>industrie!D18</f>
        <v>1349.0708880000002</v>
      </c>
      <c r="F13" s="635">
        <f>industrie!E18</f>
        <v>92.137539647227783</v>
      </c>
      <c r="G13" s="635">
        <f>industrie!F18</f>
        <v>1312.0808373918967</v>
      </c>
      <c r="H13" s="635">
        <f>industrie!G18</f>
        <v>0</v>
      </c>
      <c r="I13" s="635">
        <f>industrie!H18</f>
        <v>0</v>
      </c>
      <c r="J13" s="635">
        <f>industrie!I18</f>
        <v>0</v>
      </c>
      <c r="K13" s="635">
        <f>industrie!J18</f>
        <v>20.625877659450008</v>
      </c>
      <c r="L13" s="635">
        <f>industrie!K18</f>
        <v>0</v>
      </c>
      <c r="M13" s="635">
        <f>industrie!L18</f>
        <v>0</v>
      </c>
      <c r="N13" s="635">
        <f>industrie!M18</f>
        <v>0</v>
      </c>
      <c r="O13" s="635">
        <f>industrie!N18</f>
        <v>76.759707673837752</v>
      </c>
      <c r="P13" s="635">
        <f>industrie!O18</f>
        <v>0</v>
      </c>
      <c r="Q13" s="636">
        <f>industrie!P18</f>
        <v>0</v>
      </c>
      <c r="R13" s="638">
        <f>SUM(C13:Q13)</f>
        <v>7515.5509983337906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39808.979636457647</v>
      </c>
      <c r="D16" s="668">
        <f t="shared" ref="D16:R16" ca="1" si="0">SUM(D9:D15)</f>
        <v>0</v>
      </c>
      <c r="E16" s="668">
        <f t="shared" ca="1" si="0"/>
        <v>42969.324464000005</v>
      </c>
      <c r="F16" s="668">
        <f t="shared" si="0"/>
        <v>1537.0562710708498</v>
      </c>
      <c r="G16" s="668">
        <f t="shared" ca="1" si="0"/>
        <v>46686.400721501108</v>
      </c>
      <c r="H16" s="668">
        <f t="shared" si="0"/>
        <v>0</v>
      </c>
      <c r="I16" s="668">
        <f t="shared" si="0"/>
        <v>0</v>
      </c>
      <c r="J16" s="668">
        <f t="shared" si="0"/>
        <v>0</v>
      </c>
      <c r="K16" s="668">
        <f t="shared" si="0"/>
        <v>998.76736696552985</v>
      </c>
      <c r="L16" s="668">
        <f t="shared" si="0"/>
        <v>0</v>
      </c>
      <c r="M16" s="668">
        <f t="shared" ca="1" si="0"/>
        <v>0</v>
      </c>
      <c r="N16" s="668">
        <f t="shared" si="0"/>
        <v>0</v>
      </c>
      <c r="O16" s="668">
        <f t="shared" ca="1" si="0"/>
        <v>6002.7382466204645</v>
      </c>
      <c r="P16" s="668">
        <f t="shared" si="0"/>
        <v>67.223333333333343</v>
      </c>
      <c r="Q16" s="668">
        <f t="shared" si="0"/>
        <v>305.06666666666666</v>
      </c>
      <c r="R16" s="668">
        <f t="shared" ca="1" si="0"/>
        <v>138375.55670661558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13.988675322684518</v>
      </c>
      <c r="D19" s="635">
        <f>transport!C54</f>
        <v>0</v>
      </c>
      <c r="E19" s="635">
        <f>transport!D54</f>
        <v>0</v>
      </c>
      <c r="F19" s="635">
        <f>transport!E54</f>
        <v>0</v>
      </c>
      <c r="G19" s="635">
        <f>transport!F54</f>
        <v>0</v>
      </c>
      <c r="H19" s="635">
        <f>transport!G54</f>
        <v>3034.7026669376019</v>
      </c>
      <c r="I19" s="635">
        <f>transport!H54</f>
        <v>0</v>
      </c>
      <c r="J19" s="635">
        <f>transport!I54</f>
        <v>0</v>
      </c>
      <c r="K19" s="635">
        <f>transport!J54</f>
        <v>0</v>
      </c>
      <c r="L19" s="635">
        <f>transport!K54</f>
        <v>0</v>
      </c>
      <c r="M19" s="635">
        <f>transport!L54</f>
        <v>0</v>
      </c>
      <c r="N19" s="635">
        <f>transport!M54</f>
        <v>129.9343111495993</v>
      </c>
      <c r="O19" s="635">
        <f>transport!N54</f>
        <v>0</v>
      </c>
      <c r="P19" s="635">
        <f>transport!O54</f>
        <v>0</v>
      </c>
      <c r="Q19" s="636">
        <f>transport!P54</f>
        <v>0</v>
      </c>
      <c r="R19" s="638">
        <f>SUM(C19:Q19)</f>
        <v>3178.6256534098857</v>
      </c>
      <c r="S19" s="67"/>
    </row>
    <row r="20" spans="1:19" s="441" customFormat="1">
      <c r="A20" s="749" t="s">
        <v>296</v>
      </c>
      <c r="B20" s="754"/>
      <c r="C20" s="635">
        <f>transport!B14</f>
        <v>0.73658522598237863</v>
      </c>
      <c r="D20" s="635">
        <f>transport!C14</f>
        <v>0</v>
      </c>
      <c r="E20" s="635">
        <f>transport!D14</f>
        <v>2.6431643580097219</v>
      </c>
      <c r="F20" s="635">
        <f>transport!E14</f>
        <v>268.29087629696505</v>
      </c>
      <c r="G20" s="635">
        <f>transport!F14</f>
        <v>0</v>
      </c>
      <c r="H20" s="635">
        <f>transport!G14</f>
        <v>49923.47055518924</v>
      </c>
      <c r="I20" s="635">
        <f>transport!H14</f>
        <v>9006.5033041680454</v>
      </c>
      <c r="J20" s="635">
        <f>transport!I14</f>
        <v>0</v>
      </c>
      <c r="K20" s="635">
        <f>transport!J14</f>
        <v>0</v>
      </c>
      <c r="L20" s="635">
        <f>transport!K14</f>
        <v>0</v>
      </c>
      <c r="M20" s="635">
        <f>transport!L14</f>
        <v>0</v>
      </c>
      <c r="N20" s="635">
        <f>transport!M14</f>
        <v>2565.1869171854992</v>
      </c>
      <c r="O20" s="635">
        <f>transport!N14</f>
        <v>0</v>
      </c>
      <c r="P20" s="635">
        <f>transport!O14</f>
        <v>0</v>
      </c>
      <c r="Q20" s="636">
        <f>transport!P14</f>
        <v>0</v>
      </c>
      <c r="R20" s="638">
        <f>SUM(C20:Q20)</f>
        <v>61766.831402423741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14.725260548666897</v>
      </c>
      <c r="D22" s="752">
        <f t="shared" ref="D22:R22" si="1">SUM(D18:D21)</f>
        <v>0</v>
      </c>
      <c r="E22" s="752">
        <f t="shared" si="1"/>
        <v>2.6431643580097219</v>
      </c>
      <c r="F22" s="752">
        <f t="shared" si="1"/>
        <v>268.29087629696505</v>
      </c>
      <c r="G22" s="752">
        <f t="shared" si="1"/>
        <v>0</v>
      </c>
      <c r="H22" s="752">
        <f t="shared" si="1"/>
        <v>52958.173222126839</v>
      </c>
      <c r="I22" s="752">
        <f t="shared" si="1"/>
        <v>9006.5033041680454</v>
      </c>
      <c r="J22" s="752">
        <f t="shared" si="1"/>
        <v>0</v>
      </c>
      <c r="K22" s="752">
        <f t="shared" si="1"/>
        <v>0</v>
      </c>
      <c r="L22" s="752">
        <f t="shared" si="1"/>
        <v>0</v>
      </c>
      <c r="M22" s="752">
        <f t="shared" si="1"/>
        <v>0</v>
      </c>
      <c r="N22" s="752">
        <f t="shared" si="1"/>
        <v>2695.1212283350983</v>
      </c>
      <c r="O22" s="752">
        <f t="shared" si="1"/>
        <v>0</v>
      </c>
      <c r="P22" s="752">
        <f t="shared" si="1"/>
        <v>0</v>
      </c>
      <c r="Q22" s="752">
        <f t="shared" si="1"/>
        <v>0</v>
      </c>
      <c r="R22" s="752">
        <f t="shared" si="1"/>
        <v>64945.457055833627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1739.268</v>
      </c>
      <c r="D24" s="635">
        <f>+landbouw!C8</f>
        <v>0</v>
      </c>
      <c r="E24" s="635">
        <f>+landbouw!D8</f>
        <v>69.142809999999997</v>
      </c>
      <c r="F24" s="635">
        <f>+landbouw!E8</f>
        <v>15.673011616577057</v>
      </c>
      <c r="G24" s="635">
        <f>+landbouw!F8</f>
        <v>6517.0902419174508</v>
      </c>
      <c r="H24" s="635">
        <f>+landbouw!G8</f>
        <v>0</v>
      </c>
      <c r="I24" s="635">
        <f>+landbouw!H8</f>
        <v>0</v>
      </c>
      <c r="J24" s="635">
        <f>+landbouw!I8</f>
        <v>0</v>
      </c>
      <c r="K24" s="635">
        <f>+landbouw!J8</f>
        <v>176.00672818841554</v>
      </c>
      <c r="L24" s="635">
        <f>+landbouw!K8</f>
        <v>0</v>
      </c>
      <c r="M24" s="635">
        <f>+landbouw!L8</f>
        <v>0</v>
      </c>
      <c r="N24" s="635">
        <f>+landbouw!M8</f>
        <v>0</v>
      </c>
      <c r="O24" s="635">
        <f>+landbouw!N8</f>
        <v>0</v>
      </c>
      <c r="P24" s="635">
        <f>+landbouw!O8</f>
        <v>0</v>
      </c>
      <c r="Q24" s="636">
        <f>+landbouw!P8</f>
        <v>0</v>
      </c>
      <c r="R24" s="638">
        <f>SUM(C24:Q24)</f>
        <v>8517.1807917224432</v>
      </c>
      <c r="S24" s="67"/>
    </row>
    <row r="25" spans="1:19" s="441" customFormat="1" ht="15" thickBot="1">
      <c r="A25" s="771" t="s">
        <v>864</v>
      </c>
      <c r="B25" s="923"/>
      <c r="C25" s="924">
        <f>IF(Onbekend_ele_kWh="---",0,Onbekend_ele_kWh)/1000+IF(REST_rest_ele_kWh="---",0,REST_rest_ele_kWh)/1000</f>
        <v>3150.26</v>
      </c>
      <c r="D25" s="924"/>
      <c r="E25" s="924">
        <f>IF(onbekend_gas_kWh="---",0,onbekend_gas_kWh)/1000+IF(REST_rest_gas_kWh="---",0,REST_rest_gas_kWh)/1000</f>
        <v>856.755</v>
      </c>
      <c r="F25" s="924"/>
      <c r="G25" s="924"/>
      <c r="H25" s="924"/>
      <c r="I25" s="924"/>
      <c r="J25" s="924"/>
      <c r="K25" s="924"/>
      <c r="L25" s="924"/>
      <c r="M25" s="924"/>
      <c r="N25" s="924"/>
      <c r="O25" s="924"/>
      <c r="P25" s="924"/>
      <c r="Q25" s="925"/>
      <c r="R25" s="638">
        <f>SUM(C25:Q25)</f>
        <v>4007.0150000000003</v>
      </c>
      <c r="S25" s="67"/>
    </row>
    <row r="26" spans="1:19" s="441" customFormat="1" ht="15.75" thickBot="1">
      <c r="A26" s="641" t="s">
        <v>865</v>
      </c>
      <c r="B26" s="757"/>
      <c r="C26" s="752">
        <f>SUM(C24:C25)</f>
        <v>4889.5280000000002</v>
      </c>
      <c r="D26" s="752">
        <f t="shared" ref="D26:R26" si="2">SUM(D24:D25)</f>
        <v>0</v>
      </c>
      <c r="E26" s="752">
        <f t="shared" si="2"/>
        <v>925.89780999999994</v>
      </c>
      <c r="F26" s="752">
        <f t="shared" si="2"/>
        <v>15.673011616577057</v>
      </c>
      <c r="G26" s="752">
        <f t="shared" si="2"/>
        <v>6517.0902419174508</v>
      </c>
      <c r="H26" s="752">
        <f t="shared" si="2"/>
        <v>0</v>
      </c>
      <c r="I26" s="752">
        <f t="shared" si="2"/>
        <v>0</v>
      </c>
      <c r="J26" s="752">
        <f t="shared" si="2"/>
        <v>0</v>
      </c>
      <c r="K26" s="752">
        <f t="shared" si="2"/>
        <v>176.00672818841554</v>
      </c>
      <c r="L26" s="752">
        <f t="shared" si="2"/>
        <v>0</v>
      </c>
      <c r="M26" s="752">
        <f t="shared" si="2"/>
        <v>0</v>
      </c>
      <c r="N26" s="752">
        <f t="shared" si="2"/>
        <v>0</v>
      </c>
      <c r="O26" s="752">
        <f t="shared" si="2"/>
        <v>0</v>
      </c>
      <c r="P26" s="752">
        <f t="shared" si="2"/>
        <v>0</v>
      </c>
      <c r="Q26" s="752">
        <f t="shared" si="2"/>
        <v>0</v>
      </c>
      <c r="R26" s="752">
        <f t="shared" si="2"/>
        <v>12524.195791722443</v>
      </c>
      <c r="S26" s="67"/>
    </row>
    <row r="27" spans="1:19" s="441" customFormat="1" ht="17.25" thickTop="1" thickBot="1">
      <c r="A27" s="642" t="s">
        <v>109</v>
      </c>
      <c r="B27" s="744"/>
      <c r="C27" s="643">
        <f ca="1">C22+C16+C26</f>
        <v>44713.23289700631</v>
      </c>
      <c r="D27" s="643">
        <f t="shared" ref="D27:R27" ca="1" si="3">D22+D16+D26</f>
        <v>0</v>
      </c>
      <c r="E27" s="643">
        <f t="shared" ca="1" si="3"/>
        <v>43897.865438358014</v>
      </c>
      <c r="F27" s="643">
        <f t="shared" si="3"/>
        <v>1821.0201589843919</v>
      </c>
      <c r="G27" s="643">
        <f t="shared" ca="1" si="3"/>
        <v>53203.490963418561</v>
      </c>
      <c r="H27" s="643">
        <f t="shared" si="3"/>
        <v>52958.173222126839</v>
      </c>
      <c r="I27" s="643">
        <f t="shared" si="3"/>
        <v>9006.5033041680454</v>
      </c>
      <c r="J27" s="643">
        <f t="shared" si="3"/>
        <v>0</v>
      </c>
      <c r="K27" s="643">
        <f t="shared" si="3"/>
        <v>1174.7740951539454</v>
      </c>
      <c r="L27" s="643">
        <f t="shared" si="3"/>
        <v>0</v>
      </c>
      <c r="M27" s="643">
        <f t="shared" ca="1" si="3"/>
        <v>0</v>
      </c>
      <c r="N27" s="643">
        <f t="shared" si="3"/>
        <v>2695.1212283350983</v>
      </c>
      <c r="O27" s="643">
        <f t="shared" ca="1" si="3"/>
        <v>6002.7382466204645</v>
      </c>
      <c r="P27" s="643">
        <f t="shared" si="3"/>
        <v>67.223333333333343</v>
      </c>
      <c r="Q27" s="643">
        <f t="shared" si="3"/>
        <v>305.06666666666666</v>
      </c>
      <c r="R27" s="643">
        <f t="shared" ca="1" si="3"/>
        <v>215845.20955417166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2486.1555477344855</v>
      </c>
      <c r="D40" s="635">
        <f ca="1">tertiair!C20</f>
        <v>0</v>
      </c>
      <c r="E40" s="635">
        <f ca="1">tertiair!D20</f>
        <v>1564.0476995880001</v>
      </c>
      <c r="F40" s="635">
        <f>tertiair!E20</f>
        <v>39.117647221705937</v>
      </c>
      <c r="G40" s="635">
        <f ca="1">tertiair!F20</f>
        <v>516.66709440313832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4605.9879889473295</v>
      </c>
    </row>
    <row r="41" spans="1:18">
      <c r="A41" s="762" t="s">
        <v>214</v>
      </c>
      <c r="B41" s="769"/>
      <c r="C41" s="635">
        <f ca="1">huishoudens!B12</f>
        <v>4901.9285290533562</v>
      </c>
      <c r="D41" s="635">
        <f ca="1">huishoudens!C12</f>
        <v>0</v>
      </c>
      <c r="E41" s="635">
        <f>huishoudens!D12</f>
        <v>6843.2435227640008</v>
      </c>
      <c r="F41" s="635">
        <f>huishoudens!E12</f>
        <v>288.87890481145621</v>
      </c>
      <c r="G41" s="635">
        <f>huishoudens!F12</f>
        <v>11598.276314654022</v>
      </c>
      <c r="H41" s="635">
        <f>huishoudens!G12</f>
        <v>0</v>
      </c>
      <c r="I41" s="635">
        <f>huishoudens!H12</f>
        <v>0</v>
      </c>
      <c r="J41" s="635">
        <f>huishoudens!I12</f>
        <v>0</v>
      </c>
      <c r="K41" s="635">
        <f>huishoudens!J12</f>
        <v>346.26208721435222</v>
      </c>
      <c r="L41" s="635">
        <f>huishoudens!K12</f>
        <v>0</v>
      </c>
      <c r="M41" s="635">
        <f>huishoudens!L12</f>
        <v>0</v>
      </c>
      <c r="N41" s="635">
        <f>huishoudens!M12</f>
        <v>0</v>
      </c>
      <c r="O41" s="635">
        <f>huishoudens!N12</f>
        <v>0</v>
      </c>
      <c r="P41" s="635">
        <f>huishoudens!O12</f>
        <v>0</v>
      </c>
      <c r="Q41" s="710">
        <f>huishoudens!P12</f>
        <v>0</v>
      </c>
      <c r="R41" s="790">
        <f t="shared" ca="1" si="4"/>
        <v>23978.589358497185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980.66229517626311</v>
      </c>
      <c r="D43" s="635">
        <f ca="1">industrie!C22</f>
        <v>0</v>
      </c>
      <c r="E43" s="635">
        <f>industrie!D22</f>
        <v>272.51231937600005</v>
      </c>
      <c r="F43" s="635">
        <f>industrie!E22</f>
        <v>20.915221499920708</v>
      </c>
      <c r="G43" s="635">
        <f>industrie!F22</f>
        <v>350.32558358363644</v>
      </c>
      <c r="H43" s="635">
        <f>industrie!G22</f>
        <v>0</v>
      </c>
      <c r="I43" s="635">
        <f>industrie!H22</f>
        <v>0</v>
      </c>
      <c r="J43" s="635">
        <f>industrie!I22</f>
        <v>0</v>
      </c>
      <c r="K43" s="635">
        <f>industrie!J22</f>
        <v>7.3015606914453022</v>
      </c>
      <c r="L43" s="635">
        <f>industrie!K22</f>
        <v>0</v>
      </c>
      <c r="M43" s="635">
        <f>industrie!L22</f>
        <v>0</v>
      </c>
      <c r="N43" s="635">
        <f>industrie!M22</f>
        <v>0</v>
      </c>
      <c r="O43" s="635">
        <f>industrie!N22</f>
        <v>0</v>
      </c>
      <c r="P43" s="635">
        <f>industrie!O22</f>
        <v>0</v>
      </c>
      <c r="Q43" s="710">
        <f>industrie!P22</f>
        <v>0</v>
      </c>
      <c r="R43" s="789">
        <f t="shared" ca="1" si="4"/>
        <v>1631.7169803272657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8368.7463719641055</v>
      </c>
      <c r="D46" s="668">
        <f t="shared" ref="D46:Q46" ca="1" si="5">SUM(D39:D45)</f>
        <v>0</v>
      </c>
      <c r="E46" s="668">
        <f t="shared" ca="1" si="5"/>
        <v>8679.8035417280007</v>
      </c>
      <c r="F46" s="668">
        <f t="shared" si="5"/>
        <v>348.91177353308291</v>
      </c>
      <c r="G46" s="668">
        <f t="shared" ca="1" si="5"/>
        <v>12465.268992640797</v>
      </c>
      <c r="H46" s="668">
        <f t="shared" si="5"/>
        <v>0</v>
      </c>
      <c r="I46" s="668">
        <f t="shared" si="5"/>
        <v>0</v>
      </c>
      <c r="J46" s="668">
        <f t="shared" si="5"/>
        <v>0</v>
      </c>
      <c r="K46" s="668">
        <f t="shared" si="5"/>
        <v>353.5636479057975</v>
      </c>
      <c r="L46" s="668">
        <f t="shared" si="5"/>
        <v>0</v>
      </c>
      <c r="M46" s="668">
        <f t="shared" ca="1" si="5"/>
        <v>0</v>
      </c>
      <c r="N46" s="668">
        <f t="shared" si="5"/>
        <v>0</v>
      </c>
      <c r="O46" s="668">
        <f t="shared" ca="1" si="5"/>
        <v>0</v>
      </c>
      <c r="P46" s="668">
        <f t="shared" si="5"/>
        <v>0</v>
      </c>
      <c r="Q46" s="668">
        <f t="shared" si="5"/>
        <v>0</v>
      </c>
      <c r="R46" s="668">
        <f ca="1">SUM(R39:R45)</f>
        <v>30216.294327771782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2.9407354050362944</v>
      </c>
      <c r="D49" s="635">
        <f ca="1">transport!C58</f>
        <v>0</v>
      </c>
      <c r="E49" s="635">
        <f>transport!D58</f>
        <v>0</v>
      </c>
      <c r="F49" s="635">
        <f>transport!E58</f>
        <v>0</v>
      </c>
      <c r="G49" s="635">
        <f>transport!F58</f>
        <v>0</v>
      </c>
      <c r="H49" s="635">
        <f>transport!G58</f>
        <v>810.26561207233976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813.20634747737608</v>
      </c>
    </row>
    <row r="50" spans="1:18">
      <c r="A50" s="765" t="s">
        <v>296</v>
      </c>
      <c r="B50" s="775"/>
      <c r="C50" s="930">
        <f ca="1">transport!B18</f>
        <v>0.15484684595977535</v>
      </c>
      <c r="D50" s="930">
        <f>transport!C18</f>
        <v>0</v>
      </c>
      <c r="E50" s="930">
        <f>transport!D18</f>
        <v>0.53391920031796392</v>
      </c>
      <c r="F50" s="930">
        <f>transport!E18</f>
        <v>60.902028919411066</v>
      </c>
      <c r="G50" s="930">
        <f>transport!F18</f>
        <v>0</v>
      </c>
      <c r="H50" s="930">
        <f>transport!G18</f>
        <v>13329.566638235528</v>
      </c>
      <c r="I50" s="930">
        <f>transport!H18</f>
        <v>2242.6193227378435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15633.77675593906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3.0955822509960695</v>
      </c>
      <c r="D52" s="668">
        <f t="shared" ref="D52:Q52" ca="1" si="6">SUM(D48:D51)</f>
        <v>0</v>
      </c>
      <c r="E52" s="668">
        <f t="shared" si="6"/>
        <v>0.53391920031796392</v>
      </c>
      <c r="F52" s="668">
        <f t="shared" si="6"/>
        <v>60.902028919411066</v>
      </c>
      <c r="G52" s="668">
        <f t="shared" si="6"/>
        <v>0</v>
      </c>
      <c r="H52" s="668">
        <f t="shared" si="6"/>
        <v>14139.832250307869</v>
      </c>
      <c r="I52" s="668">
        <f t="shared" si="6"/>
        <v>2242.6193227378435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16446.983103416434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365.63340476938856</v>
      </c>
      <c r="D54" s="930">
        <f ca="1">+landbouw!C12</f>
        <v>0</v>
      </c>
      <c r="E54" s="930">
        <f>+landbouw!D12</f>
        <v>13.966847620000001</v>
      </c>
      <c r="F54" s="930">
        <f>+landbouw!E12</f>
        <v>3.5577736369629922</v>
      </c>
      <c r="G54" s="930">
        <f>+landbouw!F12</f>
        <v>1740.0630945919595</v>
      </c>
      <c r="H54" s="930">
        <f>+landbouw!G12</f>
        <v>0</v>
      </c>
      <c r="I54" s="930">
        <f>+landbouw!H12</f>
        <v>0</v>
      </c>
      <c r="J54" s="930">
        <f>+landbouw!I12</f>
        <v>0</v>
      </c>
      <c r="K54" s="930">
        <f>+landbouw!J12</f>
        <v>62.306381778699098</v>
      </c>
      <c r="L54" s="930">
        <f>+landbouw!K12</f>
        <v>0</v>
      </c>
      <c r="M54" s="930">
        <f>+landbouw!L12</f>
        <v>0</v>
      </c>
      <c r="N54" s="930">
        <f>+landbouw!M12</f>
        <v>0</v>
      </c>
      <c r="O54" s="930">
        <f>+landbouw!N12</f>
        <v>0</v>
      </c>
      <c r="P54" s="930">
        <f>+landbouw!O12</f>
        <v>0</v>
      </c>
      <c r="Q54" s="931">
        <f>+landbouw!P12</f>
        <v>0</v>
      </c>
      <c r="R54" s="667">
        <f ca="1">SUM(C54:Q54)</f>
        <v>2185.5275023970103</v>
      </c>
    </row>
    <row r="55" spans="1:18" ht="15" thickBot="1">
      <c r="A55" s="765" t="s">
        <v>864</v>
      </c>
      <c r="B55" s="775"/>
      <c r="C55" s="930">
        <f ca="1">C25*'EF ele_warmte'!B12</f>
        <v>662.25578215020005</v>
      </c>
      <c r="D55" s="930"/>
      <c r="E55" s="930">
        <f>E25*EF_CO2_aardgas</f>
        <v>173.06451000000001</v>
      </c>
      <c r="F55" s="930"/>
      <c r="G55" s="930"/>
      <c r="H55" s="930"/>
      <c r="I55" s="930"/>
      <c r="J55" s="930"/>
      <c r="K55" s="930"/>
      <c r="L55" s="930"/>
      <c r="M55" s="930"/>
      <c r="N55" s="930"/>
      <c r="O55" s="930"/>
      <c r="P55" s="930"/>
      <c r="Q55" s="931"/>
      <c r="R55" s="667">
        <f ca="1">SUM(C55:Q55)</f>
        <v>835.32029215020009</v>
      </c>
    </row>
    <row r="56" spans="1:18" ht="15.75" thickBot="1">
      <c r="A56" s="763" t="s">
        <v>865</v>
      </c>
      <c r="B56" s="776"/>
      <c r="C56" s="668">
        <f ca="1">SUM(C54:C55)</f>
        <v>1027.8891869195886</v>
      </c>
      <c r="D56" s="668">
        <f t="shared" ref="D56:Q56" ca="1" si="7">SUM(D54:D55)</f>
        <v>0</v>
      </c>
      <c r="E56" s="668">
        <f t="shared" si="7"/>
        <v>187.03135762000002</v>
      </c>
      <c r="F56" s="668">
        <f t="shared" si="7"/>
        <v>3.5577736369629922</v>
      </c>
      <c r="G56" s="668">
        <f t="shared" si="7"/>
        <v>1740.0630945919595</v>
      </c>
      <c r="H56" s="668">
        <f t="shared" si="7"/>
        <v>0</v>
      </c>
      <c r="I56" s="668">
        <f t="shared" si="7"/>
        <v>0</v>
      </c>
      <c r="J56" s="668">
        <f t="shared" si="7"/>
        <v>0</v>
      </c>
      <c r="K56" s="668">
        <f t="shared" si="7"/>
        <v>62.306381778699098</v>
      </c>
      <c r="L56" s="668">
        <f t="shared" si="7"/>
        <v>0</v>
      </c>
      <c r="M56" s="668">
        <f t="shared" si="7"/>
        <v>0</v>
      </c>
      <c r="N56" s="668">
        <f t="shared" si="7"/>
        <v>0</v>
      </c>
      <c r="O56" s="668">
        <f t="shared" si="7"/>
        <v>0</v>
      </c>
      <c r="P56" s="668">
        <f t="shared" si="7"/>
        <v>0</v>
      </c>
      <c r="Q56" s="669">
        <f t="shared" si="7"/>
        <v>0</v>
      </c>
      <c r="R56" s="670">
        <f ca="1">SUM(R54:R55)</f>
        <v>3020.8477945472105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9399.7311411346909</v>
      </c>
      <c r="D61" s="676">
        <f t="shared" ref="D61:Q61" ca="1" si="8">D46+D52+D56</f>
        <v>0</v>
      </c>
      <c r="E61" s="676">
        <f t="shared" ca="1" si="8"/>
        <v>8867.3688185483188</v>
      </c>
      <c r="F61" s="676">
        <f t="shared" si="8"/>
        <v>413.37157608945699</v>
      </c>
      <c r="G61" s="676">
        <f t="shared" ca="1" si="8"/>
        <v>14205.332087232757</v>
      </c>
      <c r="H61" s="676">
        <f t="shared" si="8"/>
        <v>14139.832250307869</v>
      </c>
      <c r="I61" s="676">
        <f t="shared" si="8"/>
        <v>2242.6193227378435</v>
      </c>
      <c r="J61" s="676">
        <f t="shared" si="8"/>
        <v>0</v>
      </c>
      <c r="K61" s="676">
        <f t="shared" si="8"/>
        <v>415.87002968449661</v>
      </c>
      <c r="L61" s="676">
        <f t="shared" si="8"/>
        <v>0</v>
      </c>
      <c r="M61" s="676">
        <f t="shared" ca="1" si="8"/>
        <v>0</v>
      </c>
      <c r="N61" s="676">
        <f t="shared" si="8"/>
        <v>0</v>
      </c>
      <c r="O61" s="676">
        <f t="shared" ca="1" si="8"/>
        <v>0</v>
      </c>
      <c r="P61" s="676">
        <f t="shared" si="8"/>
        <v>0</v>
      </c>
      <c r="Q61" s="676">
        <f t="shared" si="8"/>
        <v>0</v>
      </c>
      <c r="R61" s="676">
        <f ca="1">R46+R52+R56</f>
        <v>49684.125225735428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0.21022257913638878</v>
      </c>
      <c r="D63" s="720">
        <f t="shared" ca="1" si="9"/>
        <v>0</v>
      </c>
      <c r="E63" s="932">
        <f t="shared" ca="1" si="9"/>
        <v>0.20199999999999999</v>
      </c>
      <c r="F63" s="720">
        <f t="shared" si="9"/>
        <v>0.22700000000000004</v>
      </c>
      <c r="G63" s="720">
        <f t="shared" ca="1" si="9"/>
        <v>0.26700000000000002</v>
      </c>
      <c r="H63" s="720">
        <f t="shared" si="9"/>
        <v>0.26700000000000007</v>
      </c>
      <c r="I63" s="720">
        <f t="shared" si="9"/>
        <v>0.24900000000000003</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136</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2044.5128013742369</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2180.5128013742369</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23317.80225126565</v>
      </c>
      <c r="C4" s="445">
        <f>huishoudens!C8</f>
        <v>0</v>
      </c>
      <c r="D4" s="445">
        <f>huishoudens!D8</f>
        <v>33877.443182000003</v>
      </c>
      <c r="E4" s="445">
        <f>huishoudens!E8</f>
        <v>1272.5942943235957</v>
      </c>
      <c r="F4" s="445">
        <f>huishoudens!F8</f>
        <v>43439.237133535658</v>
      </c>
      <c r="G4" s="445">
        <f>huishoudens!G8</f>
        <v>0</v>
      </c>
      <c r="H4" s="445">
        <f>huishoudens!H8</f>
        <v>0</v>
      </c>
      <c r="I4" s="445">
        <f>huishoudens!I8</f>
        <v>0</v>
      </c>
      <c r="J4" s="445">
        <f>huishoudens!J8</f>
        <v>978.14148930607985</v>
      </c>
      <c r="K4" s="445">
        <f>huishoudens!K8</f>
        <v>0</v>
      </c>
      <c r="L4" s="445">
        <f>huishoudens!L8</f>
        <v>0</v>
      </c>
      <c r="M4" s="445">
        <f>huishoudens!M8</f>
        <v>0</v>
      </c>
      <c r="N4" s="445">
        <f>huishoudens!N8</f>
        <v>5600.253855896055</v>
      </c>
      <c r="O4" s="445">
        <f>huishoudens!O8</f>
        <v>65.660000000000011</v>
      </c>
      <c r="P4" s="446">
        <f>huishoudens!P8</f>
        <v>247.86666666666667</v>
      </c>
      <c r="Q4" s="447">
        <f>SUM(B4:P4)</f>
        <v>108798.9988729937</v>
      </c>
    </row>
    <row r="5" spans="1:17">
      <c r="A5" s="444" t="s">
        <v>149</v>
      </c>
      <c r="B5" s="445">
        <f ca="1">tertiair!B16</f>
        <v>10563.636237230618</v>
      </c>
      <c r="C5" s="445">
        <f ca="1">tertiair!C16</f>
        <v>0</v>
      </c>
      <c r="D5" s="445">
        <f ca="1">tertiair!D16</f>
        <v>7742.8103940000001</v>
      </c>
      <c r="E5" s="445">
        <f>tertiair!E16</f>
        <v>172.32443710002616</v>
      </c>
      <c r="F5" s="445">
        <f ca="1">tertiair!F16</f>
        <v>1935.0827505735515</v>
      </c>
      <c r="G5" s="445">
        <f>tertiair!G16</f>
        <v>0</v>
      </c>
      <c r="H5" s="445">
        <f>tertiair!H16</f>
        <v>0</v>
      </c>
      <c r="I5" s="445">
        <f>tertiair!I16</f>
        <v>0</v>
      </c>
      <c r="J5" s="445">
        <f>tertiair!J16</f>
        <v>0</v>
      </c>
      <c r="K5" s="445">
        <f>tertiair!K16</f>
        <v>0</v>
      </c>
      <c r="L5" s="445">
        <f ca="1">tertiair!L16</f>
        <v>0</v>
      </c>
      <c r="M5" s="445">
        <f>tertiair!M16</f>
        <v>0</v>
      </c>
      <c r="N5" s="445">
        <f ca="1">tertiair!N16</f>
        <v>325.72468305057237</v>
      </c>
      <c r="O5" s="445">
        <f>tertiair!O16</f>
        <v>1.5633333333333335</v>
      </c>
      <c r="P5" s="446">
        <f>tertiair!P16</f>
        <v>57.2</v>
      </c>
      <c r="Q5" s="444">
        <f t="shared" ref="Q5:Q14" ca="1" si="0">SUM(B5:P5)</f>
        <v>20798.341835288098</v>
      </c>
    </row>
    <row r="6" spans="1:17">
      <c r="A6" s="444" t="s">
        <v>187</v>
      </c>
      <c r="B6" s="445">
        <f>'openbare verlichting'!B8</f>
        <v>1262.665</v>
      </c>
      <c r="C6" s="445"/>
      <c r="D6" s="445"/>
      <c r="E6" s="445"/>
      <c r="F6" s="445"/>
      <c r="G6" s="445"/>
      <c r="H6" s="445"/>
      <c r="I6" s="445"/>
      <c r="J6" s="445"/>
      <c r="K6" s="445"/>
      <c r="L6" s="445"/>
      <c r="M6" s="445"/>
      <c r="N6" s="445"/>
      <c r="O6" s="445"/>
      <c r="P6" s="446"/>
      <c r="Q6" s="444">
        <f t="shared" si="0"/>
        <v>1262.665</v>
      </c>
    </row>
    <row r="7" spans="1:17">
      <c r="A7" s="444" t="s">
        <v>105</v>
      </c>
      <c r="B7" s="445">
        <f>landbouw!B8</f>
        <v>1739.268</v>
      </c>
      <c r="C7" s="445">
        <f>landbouw!C8</f>
        <v>0</v>
      </c>
      <c r="D7" s="445">
        <f>landbouw!D8</f>
        <v>69.142809999999997</v>
      </c>
      <c r="E7" s="445">
        <f>landbouw!E8</f>
        <v>15.673011616577057</v>
      </c>
      <c r="F7" s="445">
        <f>landbouw!F8</f>
        <v>6517.0902419174508</v>
      </c>
      <c r="G7" s="445">
        <f>landbouw!G8</f>
        <v>0</v>
      </c>
      <c r="H7" s="445">
        <f>landbouw!H8</f>
        <v>0</v>
      </c>
      <c r="I7" s="445">
        <f>landbouw!I8</f>
        <v>0</v>
      </c>
      <c r="J7" s="445">
        <f>landbouw!J8</f>
        <v>176.00672818841554</v>
      </c>
      <c r="K7" s="445">
        <f>landbouw!K8</f>
        <v>0</v>
      </c>
      <c r="L7" s="445">
        <f>landbouw!L8</f>
        <v>0</v>
      </c>
      <c r="M7" s="445">
        <f>landbouw!M8</f>
        <v>0</v>
      </c>
      <c r="N7" s="445">
        <f>landbouw!N8</f>
        <v>0</v>
      </c>
      <c r="O7" s="445">
        <f>landbouw!O8</f>
        <v>0</v>
      </c>
      <c r="P7" s="446">
        <f>landbouw!P8</f>
        <v>0</v>
      </c>
      <c r="Q7" s="444">
        <f t="shared" si="0"/>
        <v>8517.1807917224432</v>
      </c>
    </row>
    <row r="8" spans="1:17">
      <c r="A8" s="444" t="s">
        <v>613</v>
      </c>
      <c r="B8" s="445">
        <f>industrie!B18</f>
        <v>4664.8761479613786</v>
      </c>
      <c r="C8" s="445">
        <f>industrie!C18</f>
        <v>0</v>
      </c>
      <c r="D8" s="445">
        <f>industrie!D18</f>
        <v>1349.0708880000002</v>
      </c>
      <c r="E8" s="445">
        <f>industrie!E18</f>
        <v>92.137539647227783</v>
      </c>
      <c r="F8" s="445">
        <f>industrie!F18</f>
        <v>1312.0808373918967</v>
      </c>
      <c r="G8" s="445">
        <f>industrie!G18</f>
        <v>0</v>
      </c>
      <c r="H8" s="445">
        <f>industrie!H18</f>
        <v>0</v>
      </c>
      <c r="I8" s="445">
        <f>industrie!I18</f>
        <v>0</v>
      </c>
      <c r="J8" s="445">
        <f>industrie!J18</f>
        <v>20.625877659450008</v>
      </c>
      <c r="K8" s="445">
        <f>industrie!K18</f>
        <v>0</v>
      </c>
      <c r="L8" s="445">
        <f>industrie!L18</f>
        <v>0</v>
      </c>
      <c r="M8" s="445">
        <f>industrie!M18</f>
        <v>0</v>
      </c>
      <c r="N8" s="445">
        <f>industrie!N18</f>
        <v>76.759707673837752</v>
      </c>
      <c r="O8" s="445">
        <f>industrie!O18</f>
        <v>0</v>
      </c>
      <c r="P8" s="446">
        <f>industrie!P18</f>
        <v>0</v>
      </c>
      <c r="Q8" s="444">
        <f t="shared" si="0"/>
        <v>7515.5509983337906</v>
      </c>
    </row>
    <row r="9" spans="1:17" s="450" customFormat="1">
      <c r="A9" s="448" t="s">
        <v>555</v>
      </c>
      <c r="B9" s="449">
        <f>transport!B14</f>
        <v>0.73658522598237863</v>
      </c>
      <c r="C9" s="449">
        <f>transport!C14</f>
        <v>0</v>
      </c>
      <c r="D9" s="449">
        <f>transport!D14</f>
        <v>2.6431643580097219</v>
      </c>
      <c r="E9" s="449">
        <f>transport!E14</f>
        <v>268.29087629696505</v>
      </c>
      <c r="F9" s="449">
        <f>transport!F14</f>
        <v>0</v>
      </c>
      <c r="G9" s="449">
        <f>transport!G14</f>
        <v>49923.47055518924</v>
      </c>
      <c r="H9" s="449">
        <f>transport!H14</f>
        <v>9006.5033041680454</v>
      </c>
      <c r="I9" s="449">
        <f>transport!I14</f>
        <v>0</v>
      </c>
      <c r="J9" s="449">
        <f>transport!J14</f>
        <v>0</v>
      </c>
      <c r="K9" s="449">
        <f>transport!K14</f>
        <v>0</v>
      </c>
      <c r="L9" s="449">
        <f>transport!L14</f>
        <v>0</v>
      </c>
      <c r="M9" s="449">
        <f>transport!M14</f>
        <v>2565.1869171854992</v>
      </c>
      <c r="N9" s="449">
        <f>transport!N14</f>
        <v>0</v>
      </c>
      <c r="O9" s="449">
        <f>transport!O14</f>
        <v>0</v>
      </c>
      <c r="P9" s="449">
        <f>transport!P14</f>
        <v>0</v>
      </c>
      <c r="Q9" s="448">
        <f>SUM(B9:P9)</f>
        <v>61766.831402423741</v>
      </c>
    </row>
    <row r="10" spans="1:17">
      <c r="A10" s="444" t="s">
        <v>545</v>
      </c>
      <c r="B10" s="445">
        <f>transport!B54</f>
        <v>13.988675322684518</v>
      </c>
      <c r="C10" s="445">
        <f>transport!C54</f>
        <v>0</v>
      </c>
      <c r="D10" s="445">
        <f>transport!D54</f>
        <v>0</v>
      </c>
      <c r="E10" s="445">
        <f>transport!E54</f>
        <v>0</v>
      </c>
      <c r="F10" s="445">
        <f>transport!F54</f>
        <v>0</v>
      </c>
      <c r="G10" s="445">
        <f>transport!G54</f>
        <v>3034.7026669376019</v>
      </c>
      <c r="H10" s="445">
        <f>transport!H54</f>
        <v>0</v>
      </c>
      <c r="I10" s="445">
        <f>transport!I54</f>
        <v>0</v>
      </c>
      <c r="J10" s="445">
        <f>transport!J54</f>
        <v>0</v>
      </c>
      <c r="K10" s="445">
        <f>transport!K54</f>
        <v>0</v>
      </c>
      <c r="L10" s="445">
        <f>transport!L54</f>
        <v>0</v>
      </c>
      <c r="M10" s="445">
        <f>transport!M54</f>
        <v>129.9343111495993</v>
      </c>
      <c r="N10" s="445">
        <f>transport!N54</f>
        <v>0</v>
      </c>
      <c r="O10" s="445">
        <f>transport!O54</f>
        <v>0</v>
      </c>
      <c r="P10" s="446">
        <f>transport!P54</f>
        <v>0</v>
      </c>
      <c r="Q10" s="444">
        <f t="shared" si="0"/>
        <v>3178.6256534098857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3150.26</v>
      </c>
      <c r="C14" s="452"/>
      <c r="D14" s="452">
        <f>'SEAP template'!E25</f>
        <v>856.755</v>
      </c>
      <c r="E14" s="452"/>
      <c r="F14" s="452"/>
      <c r="G14" s="452"/>
      <c r="H14" s="452"/>
      <c r="I14" s="452"/>
      <c r="J14" s="452"/>
      <c r="K14" s="452"/>
      <c r="L14" s="452"/>
      <c r="M14" s="452"/>
      <c r="N14" s="452"/>
      <c r="O14" s="452"/>
      <c r="P14" s="453"/>
      <c r="Q14" s="444">
        <f t="shared" si="0"/>
        <v>4007.0150000000003</v>
      </c>
    </row>
    <row r="15" spans="1:17" s="457" customFormat="1">
      <c r="A15" s="454" t="s">
        <v>549</v>
      </c>
      <c r="B15" s="455">
        <f ca="1">SUM(B4:B14)</f>
        <v>44713.23289700631</v>
      </c>
      <c r="C15" s="455">
        <f t="shared" ref="C15:Q15" ca="1" si="1">SUM(C4:C14)</f>
        <v>0</v>
      </c>
      <c r="D15" s="455">
        <f t="shared" ca="1" si="1"/>
        <v>43897.865438358007</v>
      </c>
      <c r="E15" s="455">
        <f t="shared" si="1"/>
        <v>1821.0201589843919</v>
      </c>
      <c r="F15" s="455">
        <f t="shared" ca="1" si="1"/>
        <v>53203.490963418561</v>
      </c>
      <c r="G15" s="455">
        <f t="shared" si="1"/>
        <v>52958.173222126839</v>
      </c>
      <c r="H15" s="455">
        <f t="shared" si="1"/>
        <v>9006.5033041680454</v>
      </c>
      <c r="I15" s="455">
        <f t="shared" si="1"/>
        <v>0</v>
      </c>
      <c r="J15" s="455">
        <f t="shared" si="1"/>
        <v>1174.7740951539454</v>
      </c>
      <c r="K15" s="455">
        <f t="shared" si="1"/>
        <v>0</v>
      </c>
      <c r="L15" s="455">
        <f t="shared" ca="1" si="1"/>
        <v>0</v>
      </c>
      <c r="M15" s="455">
        <f t="shared" si="1"/>
        <v>2695.1212283350983</v>
      </c>
      <c r="N15" s="455">
        <f t="shared" ca="1" si="1"/>
        <v>6002.7382466204645</v>
      </c>
      <c r="O15" s="455">
        <f t="shared" si="1"/>
        <v>67.223333333333343</v>
      </c>
      <c r="P15" s="455">
        <f t="shared" si="1"/>
        <v>305.06666666666666</v>
      </c>
      <c r="Q15" s="455">
        <f t="shared" ca="1" si="1"/>
        <v>215845.20955417166</v>
      </c>
    </row>
    <row r="17" spans="1:17">
      <c r="A17" s="458" t="s">
        <v>550</v>
      </c>
      <c r="B17" s="725">
        <f ca="1">huishoudens!B10</f>
        <v>0.21022257913638873</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4901.9285290533562</v>
      </c>
      <c r="C22" s="445">
        <f t="shared" ref="C22:C32" ca="1" si="3">C4*$C$17</f>
        <v>0</v>
      </c>
      <c r="D22" s="445">
        <f t="shared" ref="D22:D32" si="4">D4*$D$17</f>
        <v>6843.2435227640008</v>
      </c>
      <c r="E22" s="445">
        <f t="shared" ref="E22:E32" si="5">E4*$E$17</f>
        <v>288.87890481145621</v>
      </c>
      <c r="F22" s="445">
        <f t="shared" ref="F22:F32" si="6">F4*$F$17</f>
        <v>11598.276314654022</v>
      </c>
      <c r="G22" s="445">
        <f t="shared" ref="G22:G32" si="7">G4*$G$17</f>
        <v>0</v>
      </c>
      <c r="H22" s="445">
        <f t="shared" ref="H22:H32" si="8">H4*$H$17</f>
        <v>0</v>
      </c>
      <c r="I22" s="445">
        <f t="shared" ref="I22:I32" si="9">I4*$I$17</f>
        <v>0</v>
      </c>
      <c r="J22" s="445">
        <f t="shared" ref="J22:J32" si="10">J4*$J$17</f>
        <v>346.26208721435222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23978.589358497185</v>
      </c>
    </row>
    <row r="23" spans="1:17">
      <c r="A23" s="444" t="s">
        <v>149</v>
      </c>
      <c r="B23" s="445">
        <f t="shared" ca="1" si="2"/>
        <v>2220.7148548492373</v>
      </c>
      <c r="C23" s="445">
        <f t="shared" ca="1" si="3"/>
        <v>0</v>
      </c>
      <c r="D23" s="445">
        <f t="shared" ca="1" si="4"/>
        <v>1564.0476995880001</v>
      </c>
      <c r="E23" s="445">
        <f t="shared" si="5"/>
        <v>39.117647221705937</v>
      </c>
      <c r="F23" s="445">
        <f t="shared" ca="1" si="6"/>
        <v>516.66709440313832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4340.5472960620818</v>
      </c>
    </row>
    <row r="24" spans="1:17">
      <c r="A24" s="444" t="s">
        <v>187</v>
      </c>
      <c r="B24" s="445">
        <f t="shared" ca="1" si="2"/>
        <v>265.44069288524827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265.44069288524827</v>
      </c>
    </row>
    <row r="25" spans="1:17">
      <c r="A25" s="444" t="s">
        <v>105</v>
      </c>
      <c r="B25" s="445">
        <f t="shared" ca="1" si="2"/>
        <v>365.63340476938856</v>
      </c>
      <c r="C25" s="445">
        <f t="shared" ca="1" si="3"/>
        <v>0</v>
      </c>
      <c r="D25" s="445">
        <f t="shared" si="4"/>
        <v>13.966847620000001</v>
      </c>
      <c r="E25" s="445">
        <f t="shared" si="5"/>
        <v>3.5577736369629922</v>
      </c>
      <c r="F25" s="445">
        <f t="shared" si="6"/>
        <v>1740.0630945919595</v>
      </c>
      <c r="G25" s="445">
        <f t="shared" si="7"/>
        <v>0</v>
      </c>
      <c r="H25" s="445">
        <f t="shared" si="8"/>
        <v>0</v>
      </c>
      <c r="I25" s="445">
        <f t="shared" si="9"/>
        <v>0</v>
      </c>
      <c r="J25" s="445">
        <f t="shared" si="10"/>
        <v>62.306381778699098</v>
      </c>
      <c r="K25" s="445">
        <f t="shared" si="11"/>
        <v>0</v>
      </c>
      <c r="L25" s="445">
        <f t="shared" si="12"/>
        <v>0</v>
      </c>
      <c r="M25" s="445">
        <f t="shared" si="13"/>
        <v>0</v>
      </c>
      <c r="N25" s="445">
        <f t="shared" si="14"/>
        <v>0</v>
      </c>
      <c r="O25" s="445">
        <f t="shared" si="15"/>
        <v>0</v>
      </c>
      <c r="P25" s="446">
        <f t="shared" si="16"/>
        <v>0</v>
      </c>
      <c r="Q25" s="444">
        <f t="shared" ca="1" si="17"/>
        <v>2185.5275023970103</v>
      </c>
    </row>
    <row r="26" spans="1:17">
      <c r="A26" s="444" t="s">
        <v>613</v>
      </c>
      <c r="B26" s="445">
        <f t="shared" ca="1" si="2"/>
        <v>980.66229517626311</v>
      </c>
      <c r="C26" s="445">
        <f t="shared" ca="1" si="3"/>
        <v>0</v>
      </c>
      <c r="D26" s="445">
        <f t="shared" si="4"/>
        <v>272.51231937600005</v>
      </c>
      <c r="E26" s="445">
        <f t="shared" si="5"/>
        <v>20.915221499920708</v>
      </c>
      <c r="F26" s="445">
        <f t="shared" si="6"/>
        <v>350.32558358363644</v>
      </c>
      <c r="G26" s="445">
        <f t="shared" si="7"/>
        <v>0</v>
      </c>
      <c r="H26" s="445">
        <f t="shared" si="8"/>
        <v>0</v>
      </c>
      <c r="I26" s="445">
        <f t="shared" si="9"/>
        <v>0</v>
      </c>
      <c r="J26" s="445">
        <f t="shared" si="10"/>
        <v>7.3015606914453022</v>
      </c>
      <c r="K26" s="445">
        <f t="shared" si="11"/>
        <v>0</v>
      </c>
      <c r="L26" s="445">
        <f t="shared" si="12"/>
        <v>0</v>
      </c>
      <c r="M26" s="445">
        <f t="shared" si="13"/>
        <v>0</v>
      </c>
      <c r="N26" s="445">
        <f t="shared" si="14"/>
        <v>0</v>
      </c>
      <c r="O26" s="445">
        <f t="shared" si="15"/>
        <v>0</v>
      </c>
      <c r="P26" s="446">
        <f t="shared" si="16"/>
        <v>0</v>
      </c>
      <c r="Q26" s="444">
        <f t="shared" ca="1" si="17"/>
        <v>1631.7169803272657</v>
      </c>
    </row>
    <row r="27" spans="1:17" s="450" customFormat="1">
      <c r="A27" s="448" t="s">
        <v>555</v>
      </c>
      <c r="B27" s="719">
        <f t="shared" ca="1" si="2"/>
        <v>0.15484684595977535</v>
      </c>
      <c r="C27" s="449">
        <f t="shared" ca="1" si="3"/>
        <v>0</v>
      </c>
      <c r="D27" s="449">
        <f t="shared" si="4"/>
        <v>0.53391920031796392</v>
      </c>
      <c r="E27" s="449">
        <f t="shared" si="5"/>
        <v>60.902028919411066</v>
      </c>
      <c r="F27" s="449">
        <f t="shared" si="6"/>
        <v>0</v>
      </c>
      <c r="G27" s="449">
        <f t="shared" si="7"/>
        <v>13329.566638235528</v>
      </c>
      <c r="H27" s="449">
        <f t="shared" si="8"/>
        <v>2242.6193227378435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15633.77675593906</v>
      </c>
    </row>
    <row r="28" spans="1:17">
      <c r="A28" s="444" t="s">
        <v>545</v>
      </c>
      <c r="B28" s="445">
        <f t="shared" ca="1" si="2"/>
        <v>2.9407354050362944</v>
      </c>
      <c r="C28" s="445">
        <f t="shared" ca="1" si="3"/>
        <v>0</v>
      </c>
      <c r="D28" s="445">
        <f t="shared" si="4"/>
        <v>0</v>
      </c>
      <c r="E28" s="445">
        <f t="shared" si="5"/>
        <v>0</v>
      </c>
      <c r="F28" s="445">
        <f t="shared" si="6"/>
        <v>0</v>
      </c>
      <c r="G28" s="445">
        <f t="shared" si="7"/>
        <v>810.26561207233976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813.20634747737608</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662.25578215020005</v>
      </c>
      <c r="C32" s="445">
        <f t="shared" ca="1" si="3"/>
        <v>0</v>
      </c>
      <c r="D32" s="445">
        <f t="shared" si="4"/>
        <v>173.06451000000001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835.32029215020009</v>
      </c>
    </row>
    <row r="33" spans="1:17" s="457" customFormat="1">
      <c r="A33" s="454" t="s">
        <v>549</v>
      </c>
      <c r="B33" s="455">
        <f ca="1">SUM(B22:B32)</f>
        <v>9399.7311411346909</v>
      </c>
      <c r="C33" s="455">
        <f t="shared" ref="C33:Q33" ca="1" si="19">SUM(C22:C32)</f>
        <v>0</v>
      </c>
      <c r="D33" s="455">
        <f t="shared" ca="1" si="19"/>
        <v>8867.3688185483206</v>
      </c>
      <c r="E33" s="455">
        <f t="shared" si="19"/>
        <v>413.37157608945699</v>
      </c>
      <c r="F33" s="455">
        <f t="shared" ca="1" si="19"/>
        <v>14205.332087232757</v>
      </c>
      <c r="G33" s="455">
        <f t="shared" si="19"/>
        <v>14139.832250307869</v>
      </c>
      <c r="H33" s="455">
        <f t="shared" si="19"/>
        <v>2242.6193227378435</v>
      </c>
      <c r="I33" s="455">
        <f t="shared" si="19"/>
        <v>0</v>
      </c>
      <c r="J33" s="455">
        <f t="shared" si="19"/>
        <v>415.87002968449661</v>
      </c>
      <c r="K33" s="455">
        <f t="shared" si="19"/>
        <v>0</v>
      </c>
      <c r="L33" s="455">
        <f t="shared" ca="1" si="19"/>
        <v>0</v>
      </c>
      <c r="M33" s="455">
        <f t="shared" si="19"/>
        <v>0</v>
      </c>
      <c r="N33" s="455">
        <f t="shared" ca="1" si="19"/>
        <v>0</v>
      </c>
      <c r="O33" s="455">
        <f t="shared" si="19"/>
        <v>0</v>
      </c>
      <c r="P33" s="455">
        <f t="shared" si="19"/>
        <v>0</v>
      </c>
      <c r="Q33" s="455">
        <f t="shared" ca="1" si="19"/>
        <v>49684.125225735428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136</v>
      </c>
      <c r="C5" s="963"/>
      <c r="D5" s="963"/>
      <c r="E5" s="963"/>
      <c r="F5" s="963"/>
      <c r="G5" s="963"/>
      <c r="H5" s="963"/>
      <c r="I5" s="963"/>
      <c r="J5" s="963"/>
      <c r="K5" s="963"/>
      <c r="L5" s="963"/>
      <c r="M5" s="963"/>
      <c r="N5" s="963"/>
      <c r="O5" s="963"/>
      <c r="P5" s="964">
        <f>'SEAP template'!Q73</f>
        <v>0</v>
      </c>
    </row>
    <row r="6" spans="1:16">
      <c r="A6" s="965" t="s">
        <v>240</v>
      </c>
      <c r="B6" s="963">
        <f>'SEAP template'!B74</f>
        <v>2044.5128013742369</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2180.5128013742369</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0.21022257913638873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0.21022257913638873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2022-07-26T12:48:56Z</dcterms:modified>
</cp:coreProperties>
</file>