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A8660FD0-A6CE-4334-B062-713525E0DE3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<sst xmlns="http://schemas.openxmlformats.org/spreadsheetml/2006/main" count="2513" uniqueCount="962">
  <si>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</si>
  <si>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</si>
  <si>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</si>
  <si>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</si>
  <si>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</si>
  <si>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</si>
  <si>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</si>
  <si>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</si>
  <si>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</si>
  <si>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</si>
  <si>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</si>
  <si>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</si>
  <si>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</si>
  <si>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</si>
  <si>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</si>
  <si>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</si>
  <si>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</si>
  <si>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</si>
  <si>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</si>
  <si>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</si>
  <si>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</si>
  <si>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</si>
  <si>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</si>
  <si>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</si>
  <si>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</si>
  <si>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</si>
  <si>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</si>
  <si>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</si>
  <si>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</si>
  <si>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</si>
  <si>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</si>
  <si>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</si>
  <si>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</si>
  <si>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</si>
  <si>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</si>
  <si>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</si>
  <si>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</si>
  <si>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</si>
  <si>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</si>
  <si>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</si>
  <si>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</si>
  <si>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</si>
  <si>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</si>
  <si>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</si>
  <si>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</si>
  <si>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</si>
  <si>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</si>
  <si>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</si>
  <si>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</si>
  <si>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</si>
  <si>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</si>
  <si>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</si>
  <si>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</si>
  <si>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</si>
  <si>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</si>
  <si>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</si>
  <si>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</si>
  <si>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</si>
  <si>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</si>
  <si>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</si>
  <si>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</si>
  <si>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</si>
  <si>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</si>
  <si>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</si>
  <si>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</si>
  <si>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</si>
  <si>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</si>
  <si>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</si>
  <si>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</si>
  <si>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</si>
  <si>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</si>
  <si>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</si>
  <si>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</si>
  <si>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</si>
  <si>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</si>
  <si>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</si>
  <si>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</si>
  <si>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</si>
  <si>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</si>
  <si>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</si>
  <si>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</si>
  <si>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</si>
  <si>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</si>
  <si>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</si>
  <si>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</si>
  <si>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</si>
  <si>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</si>
  <si>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</si>
  <si>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</si>
  <si>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</si>
  <si>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</si>
  <si>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</si>
  <si>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</si>
  <si>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</si>
  <si>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</si>
  <si>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</si>
  <si>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</si>
  <si>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</si>
  <si>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</si>
  <si>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</si>
  <si>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</si>
  <si>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</si>
  <si>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</si>
  <si>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</si>
  <si>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</si>
  <si>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</si>
  <si>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</si>
  <si>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</si>
  <si>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</si>
  <si>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</si>
  <si>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</si>
  <si>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</si>
  <si>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</si>
  <si>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</si>
  <si>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</si>
  <si>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</si>
  <si>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</si>
  <si>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</si>
  <si>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</si>
  <si>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</si>
  <si>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</si>
  <si>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</si>
  <si>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</si>
  <si>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</si>
  <si>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</si>
  <si>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</si>
  <si>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</si>
  <si>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</si>
  <si>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</si>
  <si>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</si>
  <si>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</si>
  <si>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</si>
  <si>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</si>
  <si>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</si>
  <si>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</si>
  <si>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</si>
  <si>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</si>
  <si>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</si>
  <si>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</si>
  <si>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</si>
  <si>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</si>
  <si>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</si>
  <si>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</si>
  <si>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</si>
  <si>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</si>
  <si>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</si>
  <si>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</si>
  <si>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</si>
  <si>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</si>
  <si>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</si>
  <si>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</si>
  <si>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</si>
  <si>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</si>
  <si>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</si>
  <si>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</si>
  <si>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</si>
  <si>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</si>
  <si>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</si>
  <si>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</si>
  <si>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</si>
  <si>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</si>
  <si>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</si>
  <si>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</si>
  <si>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</si>
  <si>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</si>
  <si>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</si>
  <si>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</si>
  <si>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</si>
  <si>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</si>
  <si>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</si>
  <si>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</si>
  <si>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</si>
  <si>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</si>
  <si>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</si>
  <si>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</si>
  <si>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</si>
  <si>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</si>
  <si>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</si>
  <si>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</si>
  <si>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</si>
  <si>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</si>
  <si>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</si>
  <si>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</si>
  <si>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</si>
  <si>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</si>
  <si>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</si>
  <si>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</si>
  <si>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</si>
  <si>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</si>
  <si>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</si>
  <si>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</si>
  <si>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</si>
  <si>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</si>
  <si>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</si>
  <si>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</si>
  <si>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</si>
  <si>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</si>
  <si>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</si>
  <si>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</si>
  <si>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</si>
  <si>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</si>
  <si>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</si>
  <si>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</si>
  <si>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</si>
  <si>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</si>
  <si>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</si>
  <si>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</si>
  <si>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</si>
  <si>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</si>
  <si>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</si>
  <si>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</si>
  <si>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</si>
  <si>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</si>
  <si>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</si>
  <si>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</si>
  <si>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</si>
  <si>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</si>
  <si>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</si>
  <si>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</si>
  <si>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</si>
  <si>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</si>
  <si>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</si>
  <si>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</si>
  <si>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</si>
  <si>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</si>
  <si>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</si>
  <si>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</si>
  <si>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</si>
  <si>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</si>
  <si>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</si>
  <si>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</si>
  <si>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</si>
  <si>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</si>
  <si>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</si>
  <si>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</si>
  <si>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</si>
  <si>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</si>
  <si>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</si>
  <si>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</si>
  <si>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</si>
  <si>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</si>
  <si>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</si>
  <si>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</si>
  <si>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</si>
  <si>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</si>
  <si>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</si>
  <si>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</si>
  <si>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</si>
  <si>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</si>
  <si>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</si>
  <si>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</si>
  <si>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</si>
  <si>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</si>
  <si>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</si>
  <si>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</si>
  <si>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</si>
  <si>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</si>
  <si>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</si>
  <si>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</si>
  <si>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</si>
  <si>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</si>
  <si>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</si>
  <si>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</si>
  <si>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</si>
  <si>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</si>
  <si>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</si>
  <si>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</si>
  <si>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</si>
  <si>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</si>
  <si>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</si>
  <si>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</si>
  <si>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</si>
  <si>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</si>
  <si>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</si>
  <si>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</si>
  <si>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</si>
  <si>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</si>
  <si>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</si>
  <si>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</si>
  <si>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</si>
  <si>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</si>
  <si>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</si>
  <si>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</si>
  <si>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</si>
  <si>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</si>
  <si>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</si>
  <si>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</si>
  <si>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</si>
  <si>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</si>
  <si>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</si>
  <si>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</si>
  <si>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</si>
  <si>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</si>
  <si>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</si>
  <si>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</si>
  <si>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</si>
  <si>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</si>
  <si>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</si>
  <si>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</si>
  <si>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</si>
  <si>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</si>
  <si>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</si>
  <si>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</si>
  <si>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</si>
  <si>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</si>
  <si>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</si>
  <si>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</si>
  <si>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</si>
  <si>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</si>
  <si>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</si>
  <si>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</si>
  <si>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</si>
  <si>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</si>
  <si>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</si>
  <si>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</si>
  <si>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</si>
  <si>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</si>
  <si>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</si>
  <si>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</si>
  <si>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</si>
  <si>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</si>
  <si>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</si>
  <si>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</si>
  <si>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</si>
  <si>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</si>
  <si>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</si>
  <si>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</si>
  <si>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</si>
  <si>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</si>
  <si>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</si>
  <si>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</si>
  <si>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</si>
  <si>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</si>
  <si>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</si>
  <si>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</si>
  <si>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</si>
  <si>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</si>
  <si>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</si>
  <si>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</si>
  <si>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</si>
  <si>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</si>
  <si>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</si>
  <si>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</si>
  <si>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</si>
  <si>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</si>
  <si>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</si>
  <si>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</si>
  <si>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</si>
  <si>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</si>
  <si>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</si>
  <si>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</si>
  <si>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</si>
  <si>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</si>
  <si>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</si>
  <si>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</si>
  <si>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</si>
  <si>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</si>
  <si>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</si>
  <si>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</si>
  <si>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</si>
  <si>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</si>
  <si>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</si>
  <si>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</si>
  <si>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</si>
  <si>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</si>
  <si>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</si>
  <si>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</si>
  <si>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</si>
  <si>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</si>
  <si>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</si>
  <si>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</si>
  <si>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</si>
  <si>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</si>
  <si>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</si>
  <si>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</si>
  <si>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</si>
  <si>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</si>
  <si>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</si>
  <si>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</si>
  <si>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</si>
  <si>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</si>
  <si>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</si>
  <si>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</si>
  <si>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</si>
  <si>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</si>
  <si>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</si>
  <si>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</si>
  <si>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</si>
  <si>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</si>
  <si>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</si>
  <si>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</si>
  <si>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</si>
  <si>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</si>
  <si>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</si>
  <si>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</si>
  <si>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</si>
  <si>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</si>
  <si>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</si>
  <si>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</si>
  <si>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</si>
  <si>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</si>
  <si>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</si>
  <si>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</si>
  <si>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</si>
  <si>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</si>
  <si>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</si>
  <si>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</si>
  <si>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</si>
  <si>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</si>
  <si>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</si>
  <si>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</si>
  <si>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</si>
  <si>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</si>
  <si>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</si>
  <si>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</si>
  <si>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</si>
  <si>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</si>
  <si>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</si>
  <si>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</si>
  <si>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</si>
  <si>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</si>
  <si>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</si>
  <si>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</si>
  <si>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</si>
  <si>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</si>
  <si>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</si>
  <si>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</si>
  <si>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</si>
  <si>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</si>
  <si>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</si>
  <si>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</si>
  <si>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</si>
  <si>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</si>
  <si>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</si>
  <si>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</si>
  <si>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</si>
  <si>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</si>
  <si>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</si>
  <si>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</si>
  <si>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</si>
  <si>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</si>
  <si>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</si>
  <si>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</si>
  <si>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</si>
  <si>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</si>
  <si>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</si>
  <si>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</si>
  <si>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</si>
  <si>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</si>
  <si>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</si>
  <si>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</si>
  <si>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</si>
  <si>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</si>
  <si>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</si>
  <si>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</si>
  <si>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</si>
  <si>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</si>
  <si>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</si>
  <si>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</si>
  <si>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</si>
  <si>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</si>
  <si>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</si>
  <si>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</si>
  <si>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</si>
  <si>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</si>
  <si>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</si>
  <si>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</si>
  <si>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</si>
  <si>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</si>
  <si>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</si>
  <si>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</si>
  <si>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</si>
  <si>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</si>
  <si>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</si>
  <si>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</si>
  <si>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</si>
  <si>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</si>
  <si>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</si>
  <si>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</si>
  <si>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</si>
  <si>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</si>
  <si>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</si>
  <si>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</si>
  <si>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</si>
  <si>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</si>
  <si>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</si>
  <si>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</si>
  <si>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</si>
  <si>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</si>
  <si>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</si>
  <si>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</si>
  <si>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</si>
  <si>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</si>
  <si>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</si>
  <si>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</si>
  <si>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</si>
  <si>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</si>
  <si>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</si>
  <si>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</si>
  <si>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</si>
  <si>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</si>
  <si>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</si>
  <si>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</si>
  <si>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</si>
  <si>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</si>
  <si>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</si>
  <si>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</si>
  <si>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</si>
  <si>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</si>
  <si>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</si>
  <si>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</si>
  <si>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</si>
  <si>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</si>
  <si>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</si>
  <si>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</si>
  <si>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</si>
  <si>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</si>
  <si>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</si>
  <si>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</si>
  <si>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</si>
  <si>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</si>
  <si>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</si>
  <si>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</si>
  <si>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</si>
  <si>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</si>
  <si>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</si>
  <si>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</si>
  <si>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</si>
  <si>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</si>
  <si>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</si>
  <si>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</si>
  <si>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</si>
  <si>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</si>
  <si>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</si>
  <si>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</si>
  <si>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</si>
  <si>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</si>
  <si>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</si>
  <si>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</si>
  <si>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</si>
  <si>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</si>
  <si>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</si>
  <si>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</si>
  <si>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</si>
  <si>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</si>
  <si>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</si>
  <si>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</si>
  <si>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</si>
  <si>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</si>
  <si>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</si>
  <si>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</si>
  <si>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</si>
  <si>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</si>
  <si>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</si>
  <si>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</si>
  <si>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</si>
  <si>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</si>
  <si>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</si>
  <si>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</si>
  <si>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</si>
  <si>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</si>
  <si>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</si>
  <si>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</si>
  <si>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</si>
  <si>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</si>
  <si>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</si>
  <si>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</si>
  <si>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</si>
  <si>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</si>
  <si>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</si>
  <si>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</si>
  <si>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</si>
  <si>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</si>
  <si>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</si>
  <si>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</si>
  <si>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</si>
  <si>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</si>
  <si>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</si>
  <si>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</si>
  <si>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</si>
  <si>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</si>
  <si>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</si>
  <si>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</si>
  <si>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</si>
  <si>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</si>
  <si>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</si>
  <si>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</si>
  <si>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</si>
  <si>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</si>
  <si>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</si>
  <si>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</si>
  <si>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</si>
  <si>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</si>
  <si>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</si>
  <si>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</si>
  <si>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</si>
  <si>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</si>
  <si>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</si>
  <si>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</si>
  <si>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</si>
  <si>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</si>
  <si>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</si>
  <si>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</si>
  <si>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</si>
  <si>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</si>
  <si>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</si>
  <si>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</si>
  <si>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</si>
  <si>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</si>
  <si>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</si>
  <si>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</si>
  <si>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</si>
  <si>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</si>
  <si>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</si>
  <si>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</si>
  <si>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</si>
  <si>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</si>
  <si>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</si>
  <si>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</si>
  <si>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</si>
  <si>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</si>
  <si>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</si>
  <si>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</si>
  <si>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</si>
  <si>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</si>
  <si>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</si>
  <si>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</si>
  <si>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</si>
  <si>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</si>
  <si>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</si>
  <si>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</si>
  <si>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</si>
  <si>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</si>
  <si>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</si>
  <si>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</si>
  <si>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</si>
  <si>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</si>
  <si>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</si>
  <si>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</si>
  <si>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</si>
  <si>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</si>
  <si>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</si>
  <si>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</si>
  <si>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</si>
  <si>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</si>
  <si>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</si>
  <si>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</si>
  <si>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</si>
  <si>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</si>
  <si>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</si>
  <si>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</si>
  <si>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</si>
  <si>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</si>
  <si>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</si>
  <si>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</si>
  <si>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</si>
  <si>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</si>
  <si>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</si>
  <si>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</si>
  <si>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</si>
  <si>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</si>
  <si>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</si>
  <si>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</si>
  <si>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</si>
  <si>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</si>
  <si>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</si>
  <si>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</si>
  <si>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</si>
  <si>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</si>
  <si>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</si>
  <si>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</si>
  <si>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</si>
  <si>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</si>
  <si>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</si>
  <si>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</si>
  <si>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</si>
  <si>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</si>
  <si>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</si>
  <si>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</si>
  <si>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</si>
  <si>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</si>
  <si>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</si>
  <si>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</si>
  <si>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</si>
  <si>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</si>
  <si>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</si>
  <si>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</si>
  <si>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</si>
  <si>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</si>
  <si>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</si>
  <si>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</si>
  <si>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</si>
  <si>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</si>
  <si>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</si>
  <si>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</si>
  <si>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</si>
  <si>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</si>
  <si>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</si>
  <si>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</si>
  <si>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</si>
  <si>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</si>
  <si>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</si>
  <si>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</si>
  <si>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</si>
  <si>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</si>
  <si>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</si>
  <si>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</si>
  <si>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</si>
  <si>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</si>
  <si>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</si>
  <si>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</si>
  <si>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</si>
  <si>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</si>
  <si>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</si>
  <si>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</si>
  <si>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</si>
  <si>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</si>
  <si>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</si>
  <si>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</si>
  <si>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</si>
  <si>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</si>
  <si>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</si>
  <si>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</si>
  <si>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</si>
  <si>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</si>
  <si>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</si>
  <si>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</si>
  <si>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</si>
  <si>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</si>
  <si>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</si>
  <si>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</si>
  <si>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</si>
  <si>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</si>
  <si>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</si>
  <si>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</si>
  <si>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</si>
  <si>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</si>
  <si>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</si>
  <si>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</si>
  <si>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</si>
  <si>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</si>
  <si>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</si>
  <si>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</si>
  <si>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</si>
  <si>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</si>
  <si>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</si>
  <si>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</si>
  <si>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</si>
  <si>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</si>
  <si>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</si>
  <si>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</si>
  <si>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</si>
  <si>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</si>
  <si>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</si>
  <si>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</si>
  <si>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</si>
  <si>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</si>
  <si>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</si>
  <si>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</si>
  <si>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</si>
  <si>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</si>
  <si>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</si>
  <si>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</si>
  <si>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</si>
  <si>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</si>
  <si>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</si>
  <si>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</si>
  <si>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</si>
  <si>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</si>
  <si>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</si>
  <si>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</si>
  <si>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</si>
  <si>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</si>
  <si>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</si>
  <si>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</si>
  <si>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</si>
  <si>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</si>
  <si>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</si>
  <si>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</si>
  <si>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</si>
  <si>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</si>
  <si>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</si>
  <si>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</si>
  <si>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</si>
  <si>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</si>
  <si>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</si>
  <si>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</si>
  <si>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</si>
  <si>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</si>
  <si>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</si>
  <si>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</si>
  <si>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</si>
  <si>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</si>
  <si>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</si>
  <si>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</si>
  <si>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</si>
  <si>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</si>
  <si>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</si>
  <si>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</si>
  <si>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</si>
  <si>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</si>
  <si>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</si>
  <si>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</si>
  <si>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</si>
  <si>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</si>
  <si>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</si>
  <si>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</si>
  <si>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</si>
  <si>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</si>
  <si>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</si>
  <si>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</si>
  <si>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</si>
  <si>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</si>
  <si>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</si>
  <si>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</si>
  <si>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</si>
  <si>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</si>
  <si>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</si>
  <si>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</si>
  <si>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</si>
  <si>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</si>
  <si>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</si>
  <si>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</si>
  <si>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</si>
  <si>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</si>
  <si>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</si>
  <si>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</si>
  <si>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</si>
  <si>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</si>
  <si>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</si>
  <si>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</si>
  <si>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</si>
  <si>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</si>
  <si>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</si>
  <si>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</si>
  <si>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</si>
  <si>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</si>
  <si>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</si>
  <si>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</si>
  <si>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</si>
  <si>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</si>
  <si>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</si>
  <si>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</si>
  <si>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</si>
  <si>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</si>
  <si>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</si>
  <si>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</si>
  <si>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</si>
  <si>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</si>
  <si>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</si>
  <si>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</si>
  <si>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</si>
  <si>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</si>
  <si>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</si>
  <si>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</si>
  <si>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</si>
  <si>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</si>
  <si>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</si>
  <si>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</si>
  <si>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</si>
  <si>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</si>
  <si>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</si>
  <si>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</si>
  <si>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</si>
  <si>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</si>
  <si>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</si>
  <si>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</si>
  <si>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</si>
  <si>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</si>
  <si>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</si>
  <si>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</si>
  <si>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</si>
  <si>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</si>
  <si>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</si>
  <si>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</si>
  <si>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</si>
  <si>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</si>
  <si>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</si>
  <si>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</si>
  <si>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</si>
  <si>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</si>
  <si>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</si>
  <si>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</si>
  <si>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</si>
  <si>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</si>
  <si>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</si>
  <si>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</si>
  <si>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</si>
  <si>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</si>
  <si>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</si>
  <si>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</si>
  <si>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</si>
  <si>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</si>
  <si>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</si>
  <si>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</si>
  <si>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</si>
  <si>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</si>
  <si>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</si>
  <si>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</si>
  <si>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</si>
  <si>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</si>
  <si>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</si>
  <si>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</si>
  <si>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</si>
  <si>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</si>
  <si>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</si>
  <si>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</si>
  <si>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</si>
  <si>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</si>
  <si>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</si>
  <si>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</si>
  <si>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</si>
  <si>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</si>
  <si>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</si>
  <si>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</si>
  <si>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</si>
  <si>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</si>
  <si>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</si>
  <si>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</si>
  <si>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</si>
  <si>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</si>
  <si>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</si>
  <si>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</si>
  <si>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</si>
  <si>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</si>
  <si>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</si>
  <si>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</si>
  <si>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</si>
  <si>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</si>
  <si>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</si>
  <si>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</si>
  <si>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</si>
  <si>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</si>
  <si>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</si>
  <si>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</si>
  <si>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</si>
  <si>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</si>
  <si>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</si>
  <si>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</si>
  <si>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</si>
  <si>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</si>
  <si>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</si>
  <si>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</si>
  <si>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</si>
  <si>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</si>
  <si>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</si>
  <si>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</si>
  <si>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</si>
  <si>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</si>
  <si>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</si>
  <si>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</si>
  <si>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</si>
  <si>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</si>
  <si>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</si>
  <si>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</si>
  <si>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</si>
  <si>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</si>
  <si>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23033</t>
  </si>
  <si>
    <t>HOEILAART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</si>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</sst>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1614EF7-A817-4302-98CF-68CB7AF39E5C}"/>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23033</v>
      </c>
      <c r="B6" s="382"/>
      <c r="C6" s="383"/>
    </row>
    <row r="7" spans="1:7" s="380" customFormat="1" ht="15.75" customHeight="1">
      <c r="A7" s="384" t="str">
        <f>txtMunicipality</f>
        <v>HOEILAART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0.21722410220022767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0.21722410220022767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4189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91</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27</v>
      </c>
      <c r="C17" s="324"/>
      <c r="D17" s="324"/>
      <c r="E17" s="324"/>
      <c r="F17" s="324"/>
    </row>
    <row r="18" spans="1:6">
      <c r="A18" s="1235" t="s">
        <v>8</v>
      </c>
      <c r="B18" s="1236">
        <v>30</v>
      </c>
      <c r="C18" s="324"/>
      <c r="D18" s="324"/>
      <c r="E18" s="324"/>
      <c r="F18" s="324"/>
    </row>
    <row r="19" spans="1:6">
      <c r="A19" s="1235" t="s">
        <v>9</v>
      </c>
      <c r="B19" s="1236">
        <v>24</v>
      </c>
      <c r="C19" s="324"/>
      <c r="D19" s="324"/>
      <c r="E19" s="324"/>
      <c r="F19" s="324"/>
    </row>
    <row r="20" spans="1:6">
      <c r="A20" s="1235" t="s">
        <v>10</v>
      </c>
      <c r="B20" s="1236">
        <v>11</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178</v>
      </c>
      <c r="C29" s="324"/>
      <c r="D29" s="324"/>
      <c r="E29" s="324"/>
      <c r="F29" s="324"/>
    </row>
    <row r="30" spans="1:6">
      <c r="A30" s="1230" t="s">
        <v>960</v>
      </c>
      <c r="B30" s="1238">
        <v>12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4</v>
      </c>
      <c r="F36" s="1236">
        <v>20701</v>
      </c>
    </row>
    <row r="37" spans="1:6">
      <c r="A37" s="1235" t="s">
        <v>24</v>
      </c>
      <c r="B37" s="1235" t="s">
        <v>27</v>
      </c>
      <c r="C37" s="1236">
        <v>0</v>
      </c>
      <c r="D37" s="1236">
        <v>0</v>
      </c>
      <c r="E37" s="1236">
        <v>0</v>
      </c>
      <c r="F37" s="1236">
        <v>0</v>
      </c>
    </row>
    <row r="38" spans="1:6">
      <c r="A38" s="1235" t="s">
        <v>24</v>
      </c>
      <c r="B38" s="1235" t="s">
        <v>28</v>
      </c>
      <c r="C38" s="1236">
        <v>1</v>
      </c>
      <c r="D38" s="1236">
        <v>31326.2207063358</v>
      </c>
      <c r="E38" s="1236">
        <v>0</v>
      </c>
      <c r="F38" s="1236">
        <v>0</v>
      </c>
    </row>
    <row r="39" spans="1:6">
      <c r="A39" s="1235" t="s">
        <v>29</v>
      </c>
      <c r="B39" s="1235" t="s">
        <v>30</v>
      </c>
      <c r="C39" s="1236">
        <v>2675</v>
      </c>
      <c r="D39" s="1236">
        <v>61454846.279132299</v>
      </c>
      <c r="E39" s="1236">
        <v>4085</v>
      </c>
      <c r="F39" s="1236">
        <v>18593196.965139002</v>
      </c>
    </row>
    <row r="40" spans="1:6">
      <c r="A40" s="1235" t="s">
        <v>29</v>
      </c>
      <c r="B40" s="1235" t="s">
        <v>28</v>
      </c>
      <c r="C40" s="1236">
        <v>0</v>
      </c>
      <c r="D40" s="1236">
        <v>0</v>
      </c>
      <c r="E40" s="1236">
        <v>0</v>
      </c>
      <c r="F40" s="1236">
        <v>0</v>
      </c>
    </row>
    <row r="41" spans="1:6">
      <c r="A41" s="1235" t="s">
        <v>31</v>
      </c>
      <c r="B41" s="1235" t="s">
        <v>32</v>
      </c>
      <c r="C41" s="1236">
        <v>11</v>
      </c>
      <c r="D41" s="1236">
        <v>261239.03915524701</v>
      </c>
      <c r="E41" s="1236">
        <v>42</v>
      </c>
      <c r="F41" s="1236">
        <v>391352.64089226897</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4</v>
      </c>
      <c r="D47" s="1236">
        <v>218212.024865165</v>
      </c>
      <c r="E47" s="1236">
        <v>4</v>
      </c>
      <c r="F47" s="1236">
        <v>81542.3345373872</v>
      </c>
    </row>
    <row r="48" spans="1:6">
      <c r="A48" s="1235" t="s">
        <v>31</v>
      </c>
      <c r="B48" s="1235" t="s">
        <v>28</v>
      </c>
      <c r="C48" s="1236">
        <v>19</v>
      </c>
      <c r="D48" s="1236">
        <v>620932.66927681898</v>
      </c>
      <c r="E48" s="1236">
        <v>23</v>
      </c>
      <c r="F48" s="1236">
        <v>205014.79135490101</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10</v>
      </c>
      <c r="D51" s="1236">
        <v>236929.08925078</v>
      </c>
      <c r="E51" s="1236">
        <v>32</v>
      </c>
      <c r="F51" s="1236">
        <v>97347.734609461593</v>
      </c>
    </row>
    <row r="52" spans="1:6">
      <c r="A52" s="1235" t="s">
        <v>41</v>
      </c>
      <c r="B52" s="1235" t="s">
        <v>28</v>
      </c>
      <c r="C52" s="1236">
        <v>4</v>
      </c>
      <c r="D52" s="1236">
        <v>102248.967462243</v>
      </c>
      <c r="E52" s="1236">
        <v>6</v>
      </c>
      <c r="F52" s="1236">
        <v>54384.860084535103</v>
      </c>
    </row>
    <row r="53" spans="1:6">
      <c r="A53" s="1235" t="s">
        <v>43</v>
      </c>
      <c r="B53" s="1235" t="s">
        <v>44</v>
      </c>
      <c r="C53" s="1236">
        <v>58</v>
      </c>
      <c r="D53" s="1236">
        <v>1624226.03200252</v>
      </c>
      <c r="E53" s="1236">
        <v>127</v>
      </c>
      <c r="F53" s="1236">
        <v>871936.24655681197</v>
      </c>
    </row>
    <row r="54" spans="1:6">
      <c r="A54" s="1235" t="s">
        <v>45</v>
      </c>
      <c r="B54" s="1235" t="s">
        <v>46</v>
      </c>
      <c r="C54" s="1236">
        <v>0</v>
      </c>
      <c r="D54" s="1236">
        <v>0</v>
      </c>
      <c r="E54" s="1236">
        <v>1</v>
      </c>
      <c r="F54" s="1236">
        <v>692405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17</v>
      </c>
      <c r="D57" s="1236">
        <v>846603.11058055004</v>
      </c>
      <c r="E57" s="1236">
        <v>67</v>
      </c>
      <c r="F57" s="1236">
        <v>1232383.6501337499</v>
      </c>
    </row>
    <row r="58" spans="1:6">
      <c r="A58" s="1235" t="s">
        <v>48</v>
      </c>
      <c r="B58" s="1235" t="s">
        <v>50</v>
      </c>
      <c r="C58" s="1236">
        <v>0</v>
      </c>
      <c r="D58" s="1236">
        <v>0</v>
      </c>
      <c r="E58" s="1236">
        <v>5</v>
      </c>
      <c r="F58" s="1236">
        <v>46972.378056550202</v>
      </c>
    </row>
    <row r="59" spans="1:6">
      <c r="A59" s="1235" t="s">
        <v>48</v>
      </c>
      <c r="B59" s="1235" t="s">
        <v>51</v>
      </c>
      <c r="C59" s="1236">
        <v>29</v>
      </c>
      <c r="D59" s="1236">
        <v>1324667.5432158399</v>
      </c>
      <c r="E59" s="1236">
        <v>82</v>
      </c>
      <c r="F59" s="1236">
        <v>1970226.4652347199</v>
      </c>
    </row>
    <row r="60" spans="1:6">
      <c r="A60" s="1235" t="s">
        <v>48</v>
      </c>
      <c r="B60" s="1235" t="s">
        <v>52</v>
      </c>
      <c r="C60" s="1236">
        <v>19</v>
      </c>
      <c r="D60" s="1236">
        <v>895815.35260910296</v>
      </c>
      <c r="E60" s="1236">
        <v>25</v>
      </c>
      <c r="F60" s="1236">
        <v>462539.73932770197</v>
      </c>
    </row>
    <row r="61" spans="1:6">
      <c r="A61" s="1235" t="s">
        <v>48</v>
      </c>
      <c r="B61" s="1235" t="s">
        <v>53</v>
      </c>
      <c r="C61" s="1236">
        <v>139</v>
      </c>
      <c r="D61" s="1236">
        <v>10687490.6037146</v>
      </c>
      <c r="E61" s="1236">
        <v>247</v>
      </c>
      <c r="F61" s="1236">
        <v>5801128.1421094304</v>
      </c>
    </row>
    <row r="62" spans="1:6">
      <c r="A62" s="1235" t="s">
        <v>48</v>
      </c>
      <c r="B62" s="1235" t="s">
        <v>54</v>
      </c>
      <c r="C62" s="1236">
        <v>3</v>
      </c>
      <c r="D62" s="1236">
        <v>392009.27413510898</v>
      </c>
      <c r="E62" s="1236">
        <v>0</v>
      </c>
      <c r="F62" s="1236">
        <v>0</v>
      </c>
    </row>
    <row r="63" spans="1:6">
      <c r="A63" s="1235" t="s">
        <v>48</v>
      </c>
      <c r="B63" s="1235" t="s">
        <v>28</v>
      </c>
      <c r="C63" s="1236">
        <v>72</v>
      </c>
      <c r="D63" s="1236">
        <v>2938173.4941921998</v>
      </c>
      <c r="E63" s="1236">
        <v>87</v>
      </c>
      <c r="F63" s="1236">
        <v>1224685.4328069401</v>
      </c>
    </row>
    <row r="64" spans="1:6">
      <c r="A64" s="1235" t="s">
        <v>55</v>
      </c>
      <c r="B64" s="1235" t="s">
        <v>56</v>
      </c>
      <c r="C64" s="1236">
        <v>0</v>
      </c>
      <c r="D64" s="1236">
        <v>0</v>
      </c>
      <c r="E64" s="1236">
        <v>0</v>
      </c>
      <c r="F64" s="1236">
        <v>0</v>
      </c>
    </row>
    <row r="65" spans="1:6">
      <c r="A65" s="1235" t="s">
        <v>55</v>
      </c>
      <c r="B65" s="1235" t="s">
        <v>28</v>
      </c>
      <c r="C65" s="1236">
        <v>2</v>
      </c>
      <c r="D65" s="1236">
        <v>108638.13432944501</v>
      </c>
      <c r="E65" s="1236">
        <v>1</v>
      </c>
      <c r="F65" s="1236">
        <v>3479.8402863820002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6</v>
      </c>
      <c r="F68" s="1238">
        <v>29807.739958478702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26281311</v>
      </c>
      <c r="E73" s="443"/>
      <c r="F73" s="324"/>
    </row>
    <row r="74" spans="1:6">
      <c r="A74" s="1235" t="s">
        <v>63</v>
      </c>
      <c r="B74" s="1235" t="s">
        <v>730</v>
      </c>
      <c r="C74" s="1248" t="s">
        <v>731</v>
      </c>
      <c r="D74" s="1236">
        <v>1070171.9557982972</v>
      </c>
      <c r="E74" s="443"/>
      <c r="F74" s="324"/>
    </row>
    <row r="75" spans="1:6">
      <c r="A75" s="1235" t="s">
        <v>64</v>
      </c>
      <c r="B75" s="1235" t="s">
        <v>728</v>
      </c>
      <c r="C75" s="1248" t="s">
        <v>732</v>
      </c>
      <c r="D75" s="1236">
        <v>37159860</v>
      </c>
      <c r="E75" s="443"/>
      <c r="F75" s="324"/>
    </row>
    <row r="76" spans="1:6">
      <c r="A76" s="1235" t="s">
        <v>64</v>
      </c>
      <c r="B76" s="1235" t="s">
        <v>730</v>
      </c>
      <c r="C76" s="1248" t="s">
        <v>733</v>
      </c>
      <c r="D76" s="1236">
        <v>1052119.9557982972</v>
      </c>
      <c r="E76" s="443"/>
      <c r="F76" s="324"/>
    </row>
    <row r="77" spans="1:6">
      <c r="A77" s="1235" t="s">
        <v>65</v>
      </c>
      <c r="B77" s="1235" t="s">
        <v>728</v>
      </c>
      <c r="C77" s="1248" t="s">
        <v>734</v>
      </c>
      <c r="D77" s="1236">
        <v>157923088</v>
      </c>
      <c r="E77" s="443"/>
      <c r="F77" s="324"/>
    </row>
    <row r="78" spans="1:6">
      <c r="A78" s="1230" t="s">
        <v>65</v>
      </c>
      <c r="B78" s="1230" t="s">
        <v>730</v>
      </c>
      <c r="C78" s="1230" t="s">
        <v>735</v>
      </c>
      <c r="D78" s="1238">
        <v>11218525</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347736.08840340539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551.60535795365831</v>
      </c>
      <c r="C91" s="324"/>
      <c r="D91" s="324"/>
      <c r="E91" s="324"/>
      <c r="F91" s="324"/>
    </row>
    <row r="92" spans="1:6">
      <c r="A92" s="1230" t="s">
        <v>68</v>
      </c>
      <c r="B92" s="1231">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1825</v>
      </c>
      <c r="C97" s="324"/>
      <c r="D97" s="324"/>
      <c r="E97" s="324"/>
      <c r="F97" s="324"/>
    </row>
    <row r="98" spans="1:6">
      <c r="A98" s="1235" t="s">
        <v>71</v>
      </c>
      <c r="B98" s="1236">
        <v>3</v>
      </c>
      <c r="C98" s="324"/>
      <c r="D98" s="324"/>
      <c r="E98" s="324"/>
      <c r="F98" s="324"/>
    </row>
    <row r="99" spans="1:6">
      <c r="A99" s="1235" t="s">
        <v>72</v>
      </c>
      <c r="B99" s="1236">
        <v>27</v>
      </c>
      <c r="C99" s="324"/>
      <c r="D99" s="324"/>
      <c r="E99" s="324"/>
      <c r="F99" s="324"/>
    </row>
    <row r="100" spans="1:6">
      <c r="A100" s="1235" t="s">
        <v>73</v>
      </c>
      <c r="B100" s="1236">
        <v>215</v>
      </c>
      <c r="C100" s="324"/>
      <c r="D100" s="324"/>
      <c r="E100" s="324"/>
      <c r="F100" s="324"/>
    </row>
    <row r="101" spans="1:6">
      <c r="A101" s="1235" t="s">
        <v>74</v>
      </c>
      <c r="B101" s="1236">
        <v>32</v>
      </c>
      <c r="C101" s="324"/>
      <c r="D101" s="324"/>
      <c r="E101" s="324"/>
      <c r="F101" s="324"/>
    </row>
    <row r="102" spans="1:6">
      <c r="A102" s="1235" t="s">
        <v>75</v>
      </c>
      <c r="B102" s="1236">
        <v>57</v>
      </c>
      <c r="C102" s="324"/>
      <c r="D102" s="324"/>
      <c r="E102" s="324"/>
      <c r="F102" s="324"/>
    </row>
    <row r="103" spans="1:6">
      <c r="A103" s="1235" t="s">
        <v>76</v>
      </c>
      <c r="B103" s="1236">
        <v>75</v>
      </c>
      <c r="C103" s="324"/>
      <c r="D103" s="324"/>
      <c r="E103" s="324"/>
      <c r="F103" s="324"/>
    </row>
    <row r="104" spans="1:6">
      <c r="A104" s="1235" t="s">
        <v>77</v>
      </c>
      <c r="B104" s="1236">
        <v>1529</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v>
      </c>
      <c r="C123" s="1236">
        <v>9</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42</v>
      </c>
      <c r="C129" s="324"/>
      <c r="D129" s="324"/>
      <c r="E129" s="324"/>
      <c r="F129" s="324"/>
    </row>
    <row r="130" spans="1:6">
      <c r="A130" s="1235" t="s">
        <v>284</v>
      </c>
      <c r="B130" s="1236">
        <v>0</v>
      </c>
      <c r="C130" s="324"/>
      <c r="D130" s="324"/>
      <c r="E130" s="324"/>
      <c r="F130" s="324"/>
    </row>
    <row r="131" spans="1:6">
      <c r="A131" s="1235" t="s">
        <v>285</v>
      </c>
      <c r="B131" s="1236">
        <v>2</v>
      </c>
      <c r="C131" s="324"/>
      <c r="D131" s="324"/>
      <c r="E131" s="324"/>
      <c r="F131" s="324"/>
    </row>
    <row r="132" spans="1:6">
      <c r="A132" s="1230" t="s">
        <v>286</v>
      </c>
      <c r="B132" s="1231">
        <v>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32284.979777553723</v>
      </c>
      <c r="C3" s="43" t="s">
        <v>163</v>
      </c>
      <c r="D3" s="43"/>
      <c r="E3" s="155"/>
      <c r="F3" s="43"/>
      <c r="G3" s="43"/>
      <c r="H3" s="43"/>
      <c r="I3" s="43"/>
      <c r="J3" s="43"/>
      <c r="K3" s="96"/>
    </row>
    <row r="4" spans="1:11">
      <c r="A4" s="350" t="s">
        <v>164</v>
      </c>
      <c r="B4" s="49">
        <f>IF(ISERROR('SEAP template'!B78+'SEAP template'!C78),0,'SEAP template'!B78+'SEAP template'!C78)</f>
        <v>551.60535795365831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0.21722410220022767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692.40499999999997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692.40499999999997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0.21722410220022767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150.40705448394863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18593.196965139003</v>
      </c>
      <c r="C5" s="17">
        <f>IF(ISERROR('Eigen informatie GS &amp; warmtenet'!B57),0,'Eigen informatie GS &amp; warmtenet'!B57)</f>
        <v>0</v>
      </c>
      <c r="D5" s="30">
        <f>(SUM(HH_hh_gas_kWh,HH_rest_gas_kWh)/1000)*0.902</f>
        <v>55432.271343777335</v>
      </c>
      <c r="E5" s="17">
        <f>B32*B41</f>
        <v>792.44516696596372</v>
      </c>
      <c r="F5" s="17">
        <f>B36*B45</f>
        <v>27049.636853397369</v>
      </c>
      <c r="G5" s="18"/>
      <c r="H5" s="17"/>
      <c r="I5" s="17"/>
      <c r="J5" s="17">
        <f>B35*B44+C35*C44</f>
        <v>609.08924334089011</v>
      </c>
      <c r="K5" s="17"/>
      <c r="L5" s="17"/>
      <c r="M5" s="17"/>
      <c r="N5" s="17">
        <f>B34*B43+C34*C43</f>
        <v>5017.6459653327456</v>
      </c>
      <c r="O5" s="17">
        <f>B52*B53*B54</f>
        <v>79.73</v>
      </c>
      <c r="P5" s="17">
        <f>B60*B61*B62/1000-B60*B61*B62/1000/B63</f>
        <v>114.4</v>
      </c>
    </row>
    <row r="6" spans="1:16">
      <c r="A6" s="16" t="s">
        <v>591</v>
      </c>
      <c r="B6" s="727">
        <f>kWh_PV_kleiner_dan_10kW</f>
        <v>551.60535795365831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19144.802323092663</v>
      </c>
      <c r="C8" s="21">
        <f>C5</f>
        <v>0</v>
      </c>
      <c r="D8" s="21">
        <f>D5</f>
        <v>55432.271343777335</v>
      </c>
      <c r="E8" s="21">
        <f>E5</f>
        <v>792.44516696596372</v>
      </c>
      <c r="F8" s="21">
        <f>F5</f>
        <v>27049.636853397369</v>
      </c>
      <c r="G8" s="21"/>
      <c r="H8" s="21"/>
      <c r="I8" s="21"/>
      <c r="J8" s="21">
        <f>J5</f>
        <v>609.08924334089011</v>
      </c>
      <c r="K8" s="21"/>
      <c r="L8" s="21">
        <f>L5</f>
        <v>0</v>
      </c>
      <c r="M8" s="21">
        <f>M5</f>
        <v>0</v>
      </c>
      <c r="N8" s="21">
        <f>N5</f>
        <v>5017.6459653327456</v>
      </c>
      <c r="O8" s="21">
        <f>O5</f>
        <v>79.73</v>
      </c>
      <c r="P8" s="21">
        <f>P5</f>
        <v>114.4</v>
      </c>
    </row>
    <row r="9" spans="1:16">
      <c r="B9" s="19"/>
      <c r="C9" s="19"/>
      <c r="D9" s="255"/>
      <c r="E9" s="19"/>
      <c r="F9" s="19"/>
      <c r="G9" s="19"/>
      <c r="H9" s="19"/>
      <c r="I9" s="19"/>
      <c r="J9" s="19"/>
      <c r="K9" s="19"/>
      <c r="L9" s="19"/>
      <c r="M9" s="19"/>
      <c r="N9" s="19"/>
      <c r="O9" s="19"/>
      <c r="P9" s="19"/>
    </row>
    <row r="10" spans="1:16">
      <c r="A10" s="24" t="s">
        <v>207</v>
      </c>
      <c r="B10" s="25">
        <f ca="1">'EF ele_warmte'!B12</f>
        <v>0.21722410220022767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4158.7124964346367</v>
      </c>
      <c r="C12" s="23">
        <f ca="1">C10*C8</f>
        <v>0</v>
      </c>
      <c r="D12" s="23">
        <f>D8*D10</f>
        <v>11197.318811443023</v>
      </c>
      <c r="E12" s="23">
        <f>E10*E8</f>
        <v>179.88505290127378</v>
      </c>
      <c r="F12" s="23">
        <f>F10*F8</f>
        <v>7222.253039857098</v>
      </c>
      <c r="G12" s="23"/>
      <c r="H12" s="23"/>
      <c r="I12" s="23"/>
      <c r="J12" s="23">
        <f>J10*J8</f>
        <v>215.61759214267508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4189</v>
      </c>
      <c r="C26" s="36"/>
      <c r="D26" s="225"/>
    </row>
    <row r="27" spans="1:5" s="15" customFormat="1">
      <c r="A27" s="227" t="s">
        <v>671</v>
      </c>
      <c r="B27" s="37">
        <f>SUM(HH_hh_gas_aantal,HH_rest_gas_aantal)</f>
        <v>2675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2541.25</v>
      </c>
      <c r="C31" s="34" t="s">
        <v>104</v>
      </c>
      <c r="D31" s="171"/>
    </row>
    <row r="32" spans="1:5">
      <c r="A32" s="168" t="s">
        <v>72</v>
      </c>
      <c r="B32" s="33">
        <f>IF((B21*($B$26-($B$27-0.05*$B$27)-$B$60))&lt;0,0,B21*($B$26-($B$27-0.05*$B$27)-$B$60))</f>
        <v>11.639299333301103</v>
      </c>
      <c r="C32" s="34" t="s">
        <v>104</v>
      </c>
      <c r="D32" s="171"/>
    </row>
    <row r="33" spans="1:6">
      <c r="A33" s="168" t="s">
        <v>73</v>
      </c>
      <c r="B33" s="33">
        <f>IF((B22*($B$26-($B$27-0.05*$B$27)-$B$60))&lt;0,0,B22*($B$26-($B$27-0.05*$B$27)-$B$60))</f>
        <v>333.58073531426913</v>
      </c>
      <c r="C33" s="34" t="s">
        <v>104</v>
      </c>
      <c r="D33" s="171"/>
    </row>
    <row r="34" spans="1:6">
      <c r="A34" s="168" t="s">
        <v>74</v>
      </c>
      <c r="B34" s="33">
        <f>IF((B24*($B$26-($B$27-0.05*$B$27)-$B$60))&lt;0,0,B24*($B$26-($B$27-0.05*$B$27)-$B$60))</f>
        <v>66.519524009323035</v>
      </c>
      <c r="C34" s="33">
        <f>B26*C24</f>
        <v>856.55672810396675</v>
      </c>
      <c r="D34" s="230"/>
    </row>
    <row r="35" spans="1:6">
      <c r="A35" s="168" t="s">
        <v>76</v>
      </c>
      <c r="B35" s="33">
        <f>IF((B19*($B$26-($B$27-0.05*$B$27)-$B$60))&lt;0,0,B19*($B$26-($B$27-0.05*$B$27)-$B$60))</f>
        <v>34.640771825300909</v>
      </c>
      <c r="C35" s="33">
        <f>B35/2</f>
        <v>17.320385912650455</v>
      </c>
      <c r="D35" s="230"/>
    </row>
    <row r="36" spans="1:6">
      <c r="A36" s="168" t="s">
        <v>77</v>
      </c>
      <c r="B36" s="33">
        <f>IF((B18*($B$26-($B$27-0.05*$B$27)-$B$60))&lt;0,0,B18*($B$26-($B$27-0.05*$B$27)-$B$60))</f>
        <v>1195.3696695178057</v>
      </c>
      <c r="C36" s="34" t="s">
        <v>104</v>
      </c>
      <c r="D36" s="171"/>
    </row>
    <row r="37" spans="1:6">
      <c r="A37" s="168" t="s">
        <v>78</v>
      </c>
      <c r="B37" s="33">
        <f>B60</f>
        <v>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10737.935807669093</v>
      </c>
      <c r="C5" s="17">
        <f>IF(ISERROR('Eigen informatie GS &amp; warmtenet'!B58),0,'Eigen informatie GS &amp; warmtenet'!B58)</f>
        <v>0</v>
      </c>
      <c r="D5" s="30">
        <f>SUM(D6:D12)</f>
        <v>15410.452959359558</v>
      </c>
      <c r="E5" s="17">
        <f>SUM(E6:E12)</f>
        <v>269.74840910357955</v>
      </c>
      <c r="F5" s="17">
        <f>SUM(F6:F12)</f>
        <v>1841.8883908486009</v>
      </c>
      <c r="G5" s="18"/>
      <c r="H5" s="17"/>
      <c r="I5" s="17"/>
      <c r="J5" s="17">
        <f>SUM(J6:J12)</f>
        <v>0</v>
      </c>
      <c r="K5" s="17"/>
      <c r="L5" s="17"/>
      <c r="M5" s="17"/>
      <c r="N5" s="17">
        <f>SUM(N6:N12)</f>
        <v>383.03574954832027</v>
      </c>
      <c r="O5" s="17">
        <f>B38*B39*B40</f>
        <v>0</v>
      </c>
      <c r="P5" s="17">
        <f>B46*B47*B48/1000-B46*B47*B48/1000/B49</f>
        <v>38.133333333333333</v>
      </c>
      <c r="R5" s="32"/>
    </row>
    <row r="6" spans="1:18">
      <c r="A6" s="32" t="s">
        <v>53</v>
      </c>
      <c r="B6" s="37">
        <f>B26</f>
        <v>5801.12814210943</v>
      </c>
      <c r="C6" s="33"/>
      <c r="D6" s="37">
        <f>IF(ISERROR(TER_kantoor_gas_kWh/1000),0,TER_kantoor_gas_kWh/1000)*0.902</f>
        <v>9640.1165245505708</v>
      </c>
      <c r="E6" s="33">
        <f>$C$26*'E Balans VL '!I12/100/3.6*1000000</f>
        <v>200.67268820650071</v>
      </c>
      <c r="F6" s="33">
        <f>$C$26*('E Balans VL '!L12+'E Balans VL '!N12)/100/3.6*1000000</f>
        <v>885.60380993775163</v>
      </c>
      <c r="G6" s="34"/>
      <c r="H6" s="33"/>
      <c r="I6" s="33"/>
      <c r="J6" s="33">
        <f>$C$26*('E Balans VL '!D12+'E Balans VL '!E12)/100/3.6*1000000</f>
        <v>0</v>
      </c>
      <c r="K6" s="33"/>
      <c r="L6" s="33"/>
      <c r="M6" s="33"/>
      <c r="N6" s="33">
        <f>$C$26*'E Balans VL '!Y12/100/3.6*1000000</f>
        <v>89.427147975172957</v>
      </c>
      <c r="O6" s="33"/>
      <c r="P6" s="33"/>
      <c r="R6" s="32"/>
    </row>
    <row r="7" spans="1:18">
      <c r="A7" s="32" t="s">
        <v>52</v>
      </c>
      <c r="B7" s="37">
        <f t="shared" ref="B7:B12" si="0">B27</f>
        <v>462.53973932770197</v>
      </c>
      <c r="C7" s="33"/>
      <c r="D7" s="37">
        <f>IF(ISERROR(TER_horeca_gas_kWh/1000),0,TER_horeca_gas_kWh/1000)*0.902</f>
        <v>808.02544805341097</v>
      </c>
      <c r="E7" s="33">
        <f>$C$27*'E Balans VL '!I9/100/3.6*1000000</f>
        <v>25.348647496730077</v>
      </c>
      <c r="F7" s="33">
        <f>$C$27*('E Balans VL '!L9+'E Balans VL '!N9)/100/3.6*1000000</f>
        <v>78.277195778878195</v>
      </c>
      <c r="G7" s="34"/>
      <c r="H7" s="33"/>
      <c r="I7" s="33"/>
      <c r="J7" s="33">
        <f>$C$27*('E Balans VL '!D9+'E Balans VL '!E9)/100/3.6*1000000</f>
        <v>0</v>
      </c>
      <c r="K7" s="33"/>
      <c r="L7" s="33"/>
      <c r="M7" s="33"/>
      <c r="N7" s="33">
        <f>$C$27*'E Balans VL '!Y9/100/3.6*1000000</f>
        <v>0</v>
      </c>
      <c r="O7" s="33"/>
      <c r="P7" s="33"/>
      <c r="R7" s="32"/>
    </row>
    <row r="8" spans="1:18">
      <c r="A8" s="6" t="s">
        <v>51</v>
      </c>
      <c r="B8" s="37">
        <f t="shared" si="0"/>
        <v>1970.2264652347199</v>
      </c>
      <c r="C8" s="33"/>
      <c r="D8" s="37">
        <f>IF(ISERROR(TER_handel_gas_kWh/1000),0,TER_handel_gas_kWh/1000)*0.902</f>
        <v>1194.8501239806876</v>
      </c>
      <c r="E8" s="33">
        <f>$C$28*'E Balans VL '!I13/100/3.6*1000000</f>
        <v>9.9677121026964155</v>
      </c>
      <c r="F8" s="33">
        <f>$C$28*('E Balans VL '!L13+'E Balans VL '!N13)/100/3.6*1000000</f>
        <v>299.36050181496887</v>
      </c>
      <c r="G8" s="34"/>
      <c r="H8" s="33"/>
      <c r="I8" s="33"/>
      <c r="J8" s="33">
        <f>$C$28*('E Balans VL '!D13+'E Balans VL '!E13)/100/3.6*1000000</f>
        <v>0</v>
      </c>
      <c r="K8" s="33"/>
      <c r="L8" s="33"/>
      <c r="M8" s="33"/>
      <c r="N8" s="33">
        <f>$C$28*'E Balans VL '!Y13/100/3.6*1000000</f>
        <v>0.92133063669206339</v>
      </c>
      <c r="O8" s="33"/>
      <c r="P8" s="33"/>
      <c r="R8" s="32"/>
    </row>
    <row r="9" spans="1:18">
      <c r="A9" s="32" t="s">
        <v>50</v>
      </c>
      <c r="B9" s="37">
        <f t="shared" si="0"/>
        <v>46.972378056550205</v>
      </c>
      <c r="C9" s="33"/>
      <c r="D9" s="37">
        <f>IF(ISERROR(TER_gezond_gas_kWh/1000),0,TER_gezond_gas_kWh/1000)*0.902</f>
        <v>0</v>
      </c>
      <c r="E9" s="33">
        <f>$C$29*'E Balans VL '!I10/100/3.6*1000000</f>
        <v>1.7081301385065584E-2</v>
      </c>
      <c r="F9" s="33">
        <f>$C$29*('E Balans VL '!L10+'E Balans VL '!N10)/100/3.6*1000000</f>
        <v>10.149461603079507</v>
      </c>
      <c r="G9" s="34"/>
      <c r="H9" s="33"/>
      <c r="I9" s="33"/>
      <c r="J9" s="33">
        <f>$C$29*('E Balans VL '!D10+'E Balans VL '!E10)/100/3.6*1000000</f>
        <v>0</v>
      </c>
      <c r="K9" s="33"/>
      <c r="L9" s="33"/>
      <c r="M9" s="33"/>
      <c r="N9" s="33">
        <f>$C$29*'E Balans VL '!Y10/100/3.6*1000000</f>
        <v>0.35615743977671926</v>
      </c>
      <c r="O9" s="33"/>
      <c r="P9" s="33"/>
      <c r="R9" s="32"/>
    </row>
    <row r="10" spans="1:18">
      <c r="A10" s="32" t="s">
        <v>49</v>
      </c>
      <c r="B10" s="37">
        <f t="shared" si="0"/>
        <v>1232.3836501337498</v>
      </c>
      <c r="C10" s="33"/>
      <c r="D10" s="37">
        <f>IF(ISERROR(TER_ander_gas_kWh/1000),0,TER_ander_gas_kWh/1000)*0.902</f>
        <v>763.63600574365614</v>
      </c>
      <c r="E10" s="33">
        <f>$C$30*'E Balans VL '!I14/100/3.6*1000000</f>
        <v>7.502318751593136</v>
      </c>
      <c r="F10" s="33">
        <f>$C$30*('E Balans VL '!L14+'E Balans VL '!N14)/100/3.6*1000000</f>
        <v>326.27286528043459</v>
      </c>
      <c r="G10" s="34"/>
      <c r="H10" s="33"/>
      <c r="I10" s="33"/>
      <c r="J10" s="33">
        <f>$C$30*('E Balans VL '!D14+'E Balans VL '!E14)/100/3.6*1000000</f>
        <v>0</v>
      </c>
      <c r="K10" s="33"/>
      <c r="L10" s="33"/>
      <c r="M10" s="33"/>
      <c r="N10" s="33">
        <f>$C$30*'E Balans VL '!Y14/100/3.6*1000000</f>
        <v>256.6735540073044</v>
      </c>
      <c r="O10" s="33"/>
      <c r="P10" s="33"/>
      <c r="R10" s="32"/>
    </row>
    <row r="11" spans="1:18">
      <c r="A11" s="32" t="s">
        <v>54</v>
      </c>
      <c r="B11" s="37">
        <f t="shared" si="0"/>
        <v>0</v>
      </c>
      <c r="C11" s="33"/>
      <c r="D11" s="37">
        <f>IF(ISERROR(TER_onderwijs_gas_kWh/1000),0,TER_onderwijs_gas_kWh/1000)*0.902</f>
        <v>353.59236526986831</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1224.6854328069401</v>
      </c>
      <c r="C12" s="33"/>
      <c r="D12" s="37">
        <f>IF(ISERROR(TER_rest_gas_kWh/1000),0,TER_rest_gas_kWh/1000)*0.902</f>
        <v>2650.2324917613646</v>
      </c>
      <c r="E12" s="33">
        <f>$C$32*'E Balans VL '!I8/100/3.6*1000000</f>
        <v>26.239961244674141</v>
      </c>
      <c r="F12" s="33">
        <f>$C$32*('E Balans VL '!L8+'E Balans VL '!N8)/100/3.6*1000000</f>
        <v>242.22455643348798</v>
      </c>
      <c r="G12" s="34"/>
      <c r="H12" s="33"/>
      <c r="I12" s="33"/>
      <c r="J12" s="33">
        <f>$C$32*('E Balans VL '!D8+'E Balans VL '!E8)/100/3.6*1000000</f>
        <v>0</v>
      </c>
      <c r="K12" s="33"/>
      <c r="L12" s="33"/>
      <c r="M12" s="33"/>
      <c r="N12" s="33">
        <f>$C$32*'E Balans VL '!Y8/100/3.6*1000000</f>
        <v>35.657559489374151</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10737.935807669093</v>
      </c>
      <c r="C16" s="21">
        <f ca="1">C5+C13+C14</f>
        <v>0</v>
      </c>
      <c r="D16" s="21">
        <f t="shared" ref="D16:N16" ca="1" si="1">MAX((D5+D13+D14),0)</f>
        <v>15410.452959359558</v>
      </c>
      <c r="E16" s="21">
        <f t="shared" si="1"/>
        <v>269.74840910357955</v>
      </c>
      <c r="F16" s="21">
        <f t="shared" ca="1" si="1"/>
        <v>1841.8883908486009</v>
      </c>
      <c r="G16" s="21">
        <f t="shared" si="1"/>
        <v>0</v>
      </c>
      <c r="H16" s="21">
        <f t="shared" si="1"/>
        <v>0</v>
      </c>
      <c r="I16" s="21">
        <f t="shared" si="1"/>
        <v>0</v>
      </c>
      <c r="J16" s="21">
        <f t="shared" si="1"/>
        <v>0</v>
      </c>
      <c r="K16" s="21">
        <f t="shared" si="1"/>
        <v>0</v>
      </c>
      <c r="L16" s="21">
        <f t="shared" ca="1" si="1"/>
        <v>0</v>
      </c>
      <c r="M16" s="21">
        <f t="shared" si="1"/>
        <v>0</v>
      </c>
      <c r="N16" s="21">
        <f t="shared" ca="1" si="1"/>
        <v>383.03574954832027</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0.21722410220022767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2332.5384653045953</v>
      </c>
      <c r="C20" s="23">
        <f t="shared" ref="C20:P20" ca="1" si="2">C16*C18</f>
        <v>0</v>
      </c>
      <c r="D20" s="23">
        <f t="shared" ca="1" si="2"/>
        <v>3112.9114977906311</v>
      </c>
      <c r="E20" s="23">
        <f t="shared" si="2"/>
        <v>61.23288886651256</v>
      </c>
      <c r="F20" s="23">
        <f t="shared" ca="1" si="2"/>
        <v>491.78420035657649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5801.12814210943</v>
      </c>
      <c r="C26" s="39">
        <f>IF(ISERROR(B26*3.6/1000000/'E Balans VL '!Z12*100),0,B26*3.6/1000000/'E Balans VL '!Z12*100)</f>
        <v>0.12063855346281727</v>
      </c>
      <c r="D26" s="233" t="s">
        <v>676</v>
      </c>
      <c r="F26" s="6"/>
    </row>
    <row r="27" spans="1:18">
      <c r="A27" s="228" t="s">
        <v>52</v>
      </c>
      <c r="B27" s="33">
        <f>IF(ISERROR(TER_horeca_ele_kWh/1000),0,TER_horeca_ele_kWh/1000)</f>
        <v>462.53973932770197</v>
      </c>
      <c r="C27" s="39">
        <f>IF(ISERROR(B27*3.6/1000000/'E Balans VL '!Z9*100),0,B27*3.6/1000000/'E Balans VL '!Z9*100)</f>
        <v>3.8044221800982311E-2</v>
      </c>
      <c r="D27" s="233" t="s">
        <v>676</v>
      </c>
      <c r="F27" s="6"/>
    </row>
    <row r="28" spans="1:18">
      <c r="A28" s="168" t="s">
        <v>51</v>
      </c>
      <c r="B28" s="33">
        <f>IF(ISERROR(TER_handel_ele_kWh/1000),0,TER_handel_ele_kWh/1000)</f>
        <v>1970.2264652347199</v>
      </c>
      <c r="C28" s="39">
        <f>IF(ISERROR(B28*3.6/1000000/'E Balans VL '!Z13*100),0,B28*3.6/1000000/'E Balans VL '!Z13*100)</f>
        <v>5.453548338875075E-2</v>
      </c>
      <c r="D28" s="233" t="s">
        <v>676</v>
      </c>
      <c r="F28" s="6"/>
    </row>
    <row r="29" spans="1:18">
      <c r="A29" s="228" t="s">
        <v>50</v>
      </c>
      <c r="B29" s="33">
        <f>IF(ISERROR(TER_gezond_ele_kWh/1000),0,TER_gezond_ele_kWh/1000)</f>
        <v>46.972378056550205</v>
      </c>
      <c r="C29" s="39">
        <f>IF(ISERROR(B29*3.6/1000000/'E Balans VL '!Z10*100),0,B29*3.6/1000000/'E Balans VL '!Z10*100)</f>
        <v>5.3568587742706172E-3</v>
      </c>
      <c r="D29" s="233" t="s">
        <v>676</v>
      </c>
      <c r="F29" s="6"/>
    </row>
    <row r="30" spans="1:18">
      <c r="A30" s="228" t="s">
        <v>49</v>
      </c>
      <c r="B30" s="33">
        <f>IF(ISERROR(TER_ander_ele_kWh/1000),0,TER_ander_ele_kWh/1000)</f>
        <v>1232.3836501337498</v>
      </c>
      <c r="C30" s="39">
        <f>IF(ISERROR(B30*3.6/1000000/'E Balans VL '!Z14*100),0,B30*3.6/1000000/'E Balans VL '!Z14*100)</f>
        <v>9.5389837392579738E-2</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1224.6854328069401</v>
      </c>
      <c r="C32" s="39">
        <f>IF(ISERROR(B32*3.6/1000000/'E Balans VL '!Z8*100),0,B32*3.6/1000000/'E Balans VL '!Z8*100)</f>
        <v>1.0098853686768465E-2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677.90976678455718</v>
      </c>
      <c r="C5" s="17">
        <f>IF(ISERROR('Eigen informatie GS &amp; warmtenet'!B59),0,'Eigen informatie GS &amp; warmtenet'!B59)</f>
        <v>0</v>
      </c>
      <c r="D5" s="30">
        <f>SUM(D6:D15)</f>
        <v>992.54612743410235</v>
      </c>
      <c r="E5" s="17">
        <f>SUM(E6:E15)</f>
        <v>10.932301859676505</v>
      </c>
      <c r="F5" s="17">
        <f>SUM(F6:F15)</f>
        <v>364.23559525591997</v>
      </c>
      <c r="G5" s="18"/>
      <c r="H5" s="17"/>
      <c r="I5" s="17"/>
      <c r="J5" s="17">
        <f>SUM(J6:J15)</f>
        <v>1.4157333546842108</v>
      </c>
      <c r="K5" s="17"/>
      <c r="L5" s="17"/>
      <c r="M5" s="17"/>
      <c r="N5" s="17">
        <f>SUM(N6:N15)</f>
        <v>32.694926243442879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391.35264089226899</v>
      </c>
      <c r="C9" s="33"/>
      <c r="D9" s="37">
        <f>IF( ISERROR(IND_andere_gas_kWh/1000),0,IND_andere_gas_kWh/1000)*0.902</f>
        <v>235.63761331803278</v>
      </c>
      <c r="E9" s="33">
        <f>C31*'E Balans VL '!I19/100/3.6*1000000</f>
        <v>6.5732470260778522</v>
      </c>
      <c r="F9" s="33">
        <f>C31*'E Balans VL '!L19/100/3.6*1000000+C31*'E Balans VL '!N19/100/3.6*1000000</f>
        <v>305.93720486747463</v>
      </c>
      <c r="G9" s="34"/>
      <c r="H9" s="33"/>
      <c r="I9" s="33"/>
      <c r="J9" s="40">
        <f>C31*'E Balans VL '!D19/100/3.6*1000000+C31*'E Balans VL '!E19/100/3.6*1000000</f>
        <v>3.5296553588084499E-2</v>
      </c>
      <c r="K9" s="33"/>
      <c r="L9" s="33"/>
      <c r="M9" s="33"/>
      <c r="N9" s="33">
        <f>C31*'E Balans VL '!Y19/100/3.6*1000000</f>
        <v>29.005509390480618</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81.542334537387205</v>
      </c>
      <c r="C13" s="33"/>
      <c r="D13" s="37">
        <f>IF( ISERROR(IND_papier_gas_kWh/1000),0,IND_papier_gas_kWh/1000)*0.902</f>
        <v>196.82724642837883</v>
      </c>
      <c r="E13" s="33">
        <f>C35*'E Balans VL '!I23/100/3.6*1000000</f>
        <v>2.5088448271753454</v>
      </c>
      <c r="F13" s="33">
        <f>C35*'E Balans VL '!L23/100/3.6*1000000+C35*'E Balans VL '!N23/100/3.6*1000000</f>
        <v>17.314287358510168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205.01479135490101</v>
      </c>
      <c r="C15" s="33"/>
      <c r="D15" s="37">
        <f>IF( ISERROR(IND_rest_gas_kWh/1000),0,IND_rest_gas_kWh/1000)*0.902</f>
        <v>560.08126768769068</v>
      </c>
      <c r="E15" s="33">
        <f>C37*'E Balans VL '!I15/100/3.6*1000000</f>
        <v>1.8502100064233074</v>
      </c>
      <c r="F15" s="33">
        <f>C37*'E Balans VL '!L15/100/3.6*1000000+C37*'E Balans VL '!N15/100/3.6*1000000</f>
        <v>40.984103029935184</v>
      </c>
      <c r="G15" s="34"/>
      <c r="H15" s="33"/>
      <c r="I15" s="33"/>
      <c r="J15" s="40">
        <f>C37*'E Balans VL '!D15/100/3.6*1000000+C37*'E Balans VL '!E15/100/3.6*1000000</f>
        <v>1.3804368010961263</v>
      </c>
      <c r="K15" s="33"/>
      <c r="L15" s="33"/>
      <c r="M15" s="33"/>
      <c r="N15" s="33">
        <f>C37*'E Balans VL '!Y15/100/3.6*1000000</f>
        <v>3.6894168529622635</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677.90976678455718</v>
      </c>
      <c r="C18" s="21">
        <f>C5+C16</f>
        <v>0</v>
      </c>
      <c r="D18" s="21">
        <f>MAX((D5+D16),0)</f>
        <v>992.54612743410235</v>
      </c>
      <c r="E18" s="21">
        <f>MAX((E5+E16),0)</f>
        <v>10.932301859676505</v>
      </c>
      <c r="F18" s="21">
        <f>MAX((F5+F16),0)</f>
        <v>364.23559525591997</v>
      </c>
      <c r="G18" s="21"/>
      <c r="H18" s="21"/>
      <c r="I18" s="21"/>
      <c r="J18" s="21">
        <f>MAX((J5+J16),0)</f>
        <v>1.4157333546842108</v>
      </c>
      <c r="K18" s="21"/>
      <c r="L18" s="21">
        <f>MAX((L5+L16),0)</f>
        <v>0</v>
      </c>
      <c r="M18" s="21"/>
      <c r="N18" s="21">
        <f>MAX((N5+N16),0)</f>
        <v>32.694926243442879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0.21722410220022767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147.25834046254116</v>
      </c>
      <c r="C22" s="23">
        <f ca="1">C18*C20</f>
        <v>0</v>
      </c>
      <c r="D22" s="23">
        <f>D18*D20</f>
        <v>200.49431774168869</v>
      </c>
      <c r="E22" s="23">
        <f>E18*E20</f>
        <v>2.4816325221465667</v>
      </c>
      <c r="F22" s="23">
        <f>F18*F20</f>
        <v>97.250903933330633</v>
      </c>
      <c r="G22" s="23"/>
      <c r="H22" s="23"/>
      <c r="I22" s="23"/>
      <c r="J22" s="23">
        <f>J18*J20</f>
        <v>0.50116960755821061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391.35264089226899</v>
      </c>
      <c r="C31" s="39">
        <f>IF(ISERROR(B31*3.6/1000000/'E Balans VL '!Z19*100),0,B31*3.6/1000000/'E Balans VL '!Z19*100)</f>
        <v>1.7347111661038118E-2</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81.542334537387205</v>
      </c>
      <c r="C35" s="39">
        <f>IF(ISERROR(B35*3.6/1000000/'E Balans VL '!Z22*100),0,B35*3.6/1000000/'E Balans VL '!Z22*100)</f>
        <v>1.585908837589111E-2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205.01479135490101</v>
      </c>
      <c r="C37" s="39">
        <f>IF(ISERROR(B37*3.6/1000000/'E Balans VL '!Z15*100),0,B37*3.6/1000000/'E Balans VL '!Z15*100)</f>
        <v>1.5249760500154386E-3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151.7325946939967</v>
      </c>
      <c r="C5" s="17">
        <f>'Eigen informatie GS &amp; warmtenet'!B60</f>
        <v>0</v>
      </c>
      <c r="D5" s="30">
        <f>IF(ISERROR(SUM(LB_lb_gas_kWh,LB_rest_gas_kWh)/1000),0,SUM(LB_lb_gas_kWh,LB_rest_gas_kWh)/1000)*0.902</f>
        <v>305.93860715514677</v>
      </c>
      <c r="E5" s="17">
        <f>B17*'E Balans VL '!I25/3.6*1000000/100</f>
        <v>1.3673032098862219</v>
      </c>
      <c r="F5" s="17">
        <f>B17*('E Balans VL '!L25/3.6*1000000+'E Balans VL '!N25/3.6*1000000)/100</f>
        <v>568.54666000930365</v>
      </c>
      <c r="G5" s="18"/>
      <c r="H5" s="17"/>
      <c r="I5" s="17"/>
      <c r="J5" s="17">
        <f>('E Balans VL '!D25+'E Balans VL '!E25)/3.6*1000000*landbouw!B17/100</f>
        <v>15.354711034544017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151.7325946939967</v>
      </c>
      <c r="C8" s="21">
        <f>C5+C6</f>
        <v>0</v>
      </c>
      <c r="D8" s="21">
        <f>MAX((D5+D6),0)</f>
        <v>305.93860715514677</v>
      </c>
      <c r="E8" s="21">
        <f>MAX((E5+E6),0)</f>
        <v>1.3673032098862219</v>
      </c>
      <c r="F8" s="21">
        <f>MAX((F5+F6),0)</f>
        <v>568.54666000930365</v>
      </c>
      <c r="G8" s="21"/>
      <c r="H8" s="21"/>
      <c r="I8" s="21"/>
      <c r="J8" s="21">
        <f>MAX((J5+J6),0)</f>
        <v>15.354711034544017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0.21722410220022767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32.959976656914463</v>
      </c>
      <c r="C12" s="23">
        <f ca="1">C8*C10</f>
        <v>0</v>
      </c>
      <c r="D12" s="23">
        <f>D8*D10</f>
        <v>61.79959864533965</v>
      </c>
      <c r="E12" s="23">
        <f>E8*E10</f>
        <v>0.3103778286441724</v>
      </c>
      <c r="F12" s="23">
        <f>F8*F10</f>
        <v>151.80195822248407</v>
      </c>
      <c r="G12" s="23"/>
      <c r="H12" s="23"/>
      <c r="I12" s="23"/>
      <c r="J12" s="23">
        <f>J8*J10</f>
        <v>5.4355677062285821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2.335457530375468E-2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7.7442179792329116</v>
      </c>
      <c r="C26" s="243">
        <f>B26*'GWP N2O_CH4'!B5</f>
        <v>162.62857756389116</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0.52537693588724721</v>
      </c>
      <c r="C27" s="243">
        <f>B27*'GWP N2O_CH4'!B5</f>
        <v>11.032915653632191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0.10357962349214751</v>
      </c>
      <c r="C28" s="243">
        <f>B28*'GWP N2O_CH4'!B4</f>
        <v>32.109683282565726</v>
      </c>
      <c r="D28" s="50"/>
    </row>
    <row r="29" spans="1:4">
      <c r="A29" s="41" t="s">
        <v>266</v>
      </c>
      <c r="B29" s="243">
        <f>B34*'ha_N2O bodem landbouw'!B4</f>
        <v>0.52114855431433882</v>
      </c>
      <c r="C29" s="243">
        <f>B29*'GWP N2O_CH4'!B4</f>
        <v>161.55605183744504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1.3530632757810594E-4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8.6896035298959925E-6</v>
      </c>
      <c r="C5" s="431" t="s">
        <v>204</v>
      </c>
      <c r="D5" s="416">
        <f>SUM(D6:D11)</f>
        <v>2.9427346998905952E-5</v>
      </c>
      <c r="E5" s="416">
        <f>SUM(E6:E11)</f>
        <v>3.474903126364501E-3</v>
      </c>
      <c r="F5" s="429" t="s">
        <v>204</v>
      </c>
      <c r="G5" s="416">
        <f>SUM(G6:G11)</f>
        <v>0.56132645042404572</v>
      </c>
      <c r="H5" s="416">
        <f>SUM(H6:H11)</f>
        <v>0.10537524991072232</v>
      </c>
      <c r="I5" s="431" t="s">
        <v>204</v>
      </c>
      <c r="J5" s="431" t="s">
        <v>204</v>
      </c>
      <c r="K5" s="431" t="s">
        <v>204</v>
      </c>
      <c r="L5" s="431" t="s">
        <v>204</v>
      </c>
      <c r="M5" s="416">
        <f>SUM(M6:M11)</f>
        <v>2.9031384319614002E-2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9.9872922332330219E-7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3.1524656878749067E-6</v>
      </c>
      <c r="E6" s="419">
        <f>vkm_GW_PW*SUMIFS(TableVerdeelsleutelVkm[LPG],TableVerdeelsleutelVkm[Voertuigtype],"Lichte voertuigen")*SUMIFS(TableECFTransport[EnergieConsumptieFactor (PJ per km)],TableECFTransport[Index],CONCATENATE($A6,"_LPG_LPG"))</f>
        <v>3.2741023935049113E-4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4.3703534863531193E-2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1.0976444622870151E-2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2.3879040071996867E-3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2.2254826974724799E-8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1.003193138092584E-2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2.9518309515415209E-7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4.3218086030058684E-4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1.4121303962577305E-6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7.5600458959883331E-6</v>
      </c>
      <c r="E8" s="419">
        <f>vkm_NGW_PW*SUMIFS(TableVerdeelsleutelVkm[LPG],TableVerdeelsleutelVkm[Voertuigtype],"Lichte voertuigen")*SUMIFS(TableECFTransport[EnergieConsumptieFactor (PJ per km)],TableECFTransport[Index],CONCATENATE($A8,"_LPG_LPG"))</f>
        <v>7.3899555675864363E-4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9.3837551016557788E-2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2.4861005495572918E-2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5.1866741637747781E-3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2.1879425494270148E-8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1.3661401691342525E-2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3.5028345166646634E-7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5.8853796375640702E-4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6.0013141286238542E-6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1.8714835415042714E-5</v>
      </c>
      <c r="E10" s="419">
        <f>vkm_SW_PW*SUMIFS(TableVerdeelsleutelVkm[LPG],TableVerdeelsleutelVkm[Voertuigtype],"Lichte voertuigen")*SUMIFS(TableECFTransport[EnergieConsumptieFactor (PJ per km)],TableECFTransport[Index],CONCATENATE($A10,"_LPG_LPG"))</f>
        <v>2.4084973302553664E-3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0.29861762066914793</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6.9533969364754589E-2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1.6064507372338898E-2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2.3329552922211024E-7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0.10147441080254042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3.1849609778483088E-6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4.3715799522436455E-3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2.4137787583044421</v>
      </c>
      <c r="C14" s="21"/>
      <c r="D14" s="21">
        <f t="shared" ref="D14:M14" si="0">((D5)*10^9/3600)+D12</f>
        <v>8.1742630552516538</v>
      </c>
      <c r="E14" s="21">
        <f t="shared" si="0"/>
        <v>965.25086843458371</v>
      </c>
      <c r="F14" s="21"/>
      <c r="G14" s="21">
        <f t="shared" si="0"/>
        <v>155924.01400667935</v>
      </c>
      <c r="H14" s="21">
        <f t="shared" si="0"/>
        <v>29270.902752978422</v>
      </c>
      <c r="I14" s="21"/>
      <c r="J14" s="21"/>
      <c r="K14" s="21"/>
      <c r="L14" s="21"/>
      <c r="M14" s="21">
        <f t="shared" si="0"/>
        <v>8064.2734221150004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0.21722410220022767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0.52433092368266276</v>
      </c>
      <c r="C18" s="23"/>
      <c r="D18" s="23">
        <f t="shared" ref="D18:M18" si="1">D14*D16</f>
        <v>1.6512011371608342</v>
      </c>
      <c r="E18" s="23">
        <f t="shared" si="1"/>
        <v>219.11194713465051</v>
      </c>
      <c r="F18" s="23"/>
      <c r="G18" s="23">
        <f t="shared" si="1"/>
        <v>41631.711739783386</v>
      </c>
      <c r="H18" s="23">
        <f t="shared" si="1"/>
        <v>7288.4547854916273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2.1039335993873389E-5</v>
      </c>
      <c r="C50" s="313">
        <f t="shared" ref="C50:P50" si="2">SUM(C51:C52)</f>
        <v>0</v>
      </c>
      <c r="D50" s="313">
        <f t="shared" si="2"/>
        <v>0</v>
      </c>
      <c r="E50" s="313">
        <f t="shared" si="2"/>
        <v>0</v>
      </c>
      <c r="F50" s="313">
        <f t="shared" si="2"/>
        <v>0</v>
      </c>
      <c r="G50" s="313">
        <f t="shared" si="2"/>
        <v>4.5642727119175842E-3</v>
      </c>
      <c r="H50" s="313">
        <f t="shared" si="2"/>
        <v>0</v>
      </c>
      <c r="I50" s="313">
        <f t="shared" si="2"/>
        <v>0</v>
      </c>
      <c r="J50" s="313">
        <f t="shared" si="2"/>
        <v>0</v>
      </c>
      <c r="K50" s="313">
        <f t="shared" si="2"/>
        <v>0</v>
      </c>
      <c r="L50" s="313">
        <f t="shared" si="2"/>
        <v>0</v>
      </c>
      <c r="M50" s="313">
        <f t="shared" si="2"/>
        <v>1.9542462501619402E-4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2.1039335993873389E-5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4.5642727119175842E-3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1.9542462501619402E-4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5.8442599982981633</v>
      </c>
      <c r="C54" s="21">
        <f t="shared" ref="C54:P54" si="3">(C50)*10^9/3600</f>
        <v>0</v>
      </c>
      <c r="D54" s="21">
        <f t="shared" si="3"/>
        <v>0</v>
      </c>
      <c r="E54" s="21">
        <f t="shared" si="3"/>
        <v>0</v>
      </c>
      <c r="F54" s="21">
        <f t="shared" si="3"/>
        <v>0</v>
      </c>
      <c r="G54" s="21">
        <f t="shared" si="3"/>
        <v>1267.8535310882178</v>
      </c>
      <c r="H54" s="21">
        <f t="shared" si="3"/>
        <v>0</v>
      </c>
      <c r="I54" s="21">
        <f t="shared" si="3"/>
        <v>0</v>
      </c>
      <c r="J54" s="21">
        <f t="shared" si="3"/>
        <v>0</v>
      </c>
      <c r="K54" s="21">
        <f t="shared" si="3"/>
        <v>0</v>
      </c>
      <c r="L54" s="21">
        <f t="shared" si="3"/>
        <v>0</v>
      </c>
      <c r="M54" s="21">
        <f t="shared" si="3"/>
        <v>54.284618060053894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0.21722410220022767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1.2695141311550227</v>
      </c>
      <c r="C58" s="23">
        <f t="shared" ref="C58:P58" ca="1" si="4">C54*C56</f>
        <v>0</v>
      </c>
      <c r="D58" s="23">
        <f t="shared" si="4"/>
        <v>0</v>
      </c>
      <c r="E58" s="23">
        <f t="shared" si="4"/>
        <v>0</v>
      </c>
      <c r="F58" s="23">
        <f t="shared" si="4"/>
        <v>0</v>
      </c>
      <c r="G58" s="23">
        <f t="shared" si="4"/>
        <v>338.51689280055416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551.60535795365831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551.60535795365831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11430.340807669094</v>
      </c>
      <c r="D10" s="635">
        <f ca="1">tertiair!C16</f>
        <v>0</v>
      </c>
      <c r="E10" s="635">
        <f ca="1">tertiair!D16</f>
        <v>15410.452959359558</v>
      </c>
      <c r="F10" s="635">
        <f>tertiair!E16</f>
        <v>269.74840910357955</v>
      </c>
      <c r="G10" s="635">
        <f ca="1">tertiair!F16</f>
        <v>1841.8883908486009</v>
      </c>
      <c r="H10" s="635">
        <f>tertiair!G16</f>
        <v>0</v>
      </c>
      <c r="I10" s="635">
        <f>tertiair!H16</f>
        <v>0</v>
      </c>
      <c r="J10" s="635">
        <f>tertiair!I16</f>
        <v>0</v>
      </c>
      <c r="K10" s="635">
        <f>tertiair!J16</f>
        <v>0</v>
      </c>
      <c r="L10" s="635">
        <f>tertiair!K16</f>
        <v>0</v>
      </c>
      <c r="M10" s="635">
        <f ca="1">tertiair!L16</f>
        <v>0</v>
      </c>
      <c r="N10" s="635">
        <f>tertiair!M16</f>
        <v>0</v>
      </c>
      <c r="O10" s="635">
        <f ca="1">tertiair!N16</f>
        <v>383.03574954832027</v>
      </c>
      <c r="P10" s="635">
        <f>tertiair!O16</f>
        <v>0</v>
      </c>
      <c r="Q10" s="636">
        <f>tertiair!P16</f>
        <v>38.133333333333333</v>
      </c>
      <c r="R10" s="638">
        <f ca="1">SUM(C10:Q10)</f>
        <v>29373.599649862488</v>
      </c>
      <c r="S10" s="67"/>
    </row>
    <row r="11" spans="1:19" s="441" customFormat="1">
      <c r="A11" s="749" t="s">
        <v>214</v>
      </c>
      <c r="B11" s="754"/>
      <c r="C11" s="635">
        <f>huishoudens!B8</f>
        <v>19144.802323092663</v>
      </c>
      <c r="D11" s="635">
        <f>huishoudens!C8</f>
        <v>0</v>
      </c>
      <c r="E11" s="635">
        <f>huishoudens!D8</f>
        <v>55432.271343777335</v>
      </c>
      <c r="F11" s="635">
        <f>huishoudens!E8</f>
        <v>792.44516696596372</v>
      </c>
      <c r="G11" s="635">
        <f>huishoudens!F8</f>
        <v>27049.636853397369</v>
      </c>
      <c r="H11" s="635">
        <f>huishoudens!G8</f>
        <v>0</v>
      </c>
      <c r="I11" s="635">
        <f>huishoudens!H8</f>
        <v>0</v>
      </c>
      <c r="J11" s="635">
        <f>huishoudens!I8</f>
        <v>0</v>
      </c>
      <c r="K11" s="635">
        <f>huishoudens!J8</f>
        <v>609.08924334089011</v>
      </c>
      <c r="L11" s="635">
        <f>huishoudens!K8</f>
        <v>0</v>
      </c>
      <c r="M11" s="635">
        <f>huishoudens!L8</f>
        <v>0</v>
      </c>
      <c r="N11" s="635">
        <f>huishoudens!M8</f>
        <v>0</v>
      </c>
      <c r="O11" s="635">
        <f>huishoudens!N8</f>
        <v>5017.6459653327456</v>
      </c>
      <c r="P11" s="635">
        <f>huishoudens!O8</f>
        <v>79.73</v>
      </c>
      <c r="Q11" s="636">
        <f>huishoudens!P8</f>
        <v>114.4</v>
      </c>
      <c r="R11" s="638">
        <f>SUM(C11:Q11)</f>
        <v>108240.02089590696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677.90976678455718</v>
      </c>
      <c r="D13" s="635">
        <f>industrie!C18</f>
        <v>0</v>
      </c>
      <c r="E13" s="635">
        <f>industrie!D18</f>
        <v>992.54612743410235</v>
      </c>
      <c r="F13" s="635">
        <f>industrie!E18</f>
        <v>10.932301859676505</v>
      </c>
      <c r="G13" s="635">
        <f>industrie!F18</f>
        <v>364.23559525591997</v>
      </c>
      <c r="H13" s="635">
        <f>industrie!G18</f>
        <v>0</v>
      </c>
      <c r="I13" s="635">
        <f>industrie!H18</f>
        <v>0</v>
      </c>
      <c r="J13" s="635">
        <f>industrie!I18</f>
        <v>0</v>
      </c>
      <c r="K13" s="635">
        <f>industrie!J18</f>
        <v>1.4157333546842108</v>
      </c>
      <c r="L13" s="635">
        <f>industrie!K18</f>
        <v>0</v>
      </c>
      <c r="M13" s="635">
        <f>industrie!L18</f>
        <v>0</v>
      </c>
      <c r="N13" s="635">
        <f>industrie!M18</f>
        <v>0</v>
      </c>
      <c r="O13" s="635">
        <f>industrie!N18</f>
        <v>32.694926243442879</v>
      </c>
      <c r="P13" s="635">
        <f>industrie!O18</f>
        <v>0</v>
      </c>
      <c r="Q13" s="636">
        <f>industrie!P18</f>
        <v>0</v>
      </c>
      <c r="R13" s="638">
        <f>SUM(C13:Q13)</f>
        <v>2079.734450932383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31253.052897546313</v>
      </c>
      <c r="D16" s="668">
        <f t="shared" ref="D16:R16" ca="1" si="0">SUM(D9:D15)</f>
        <v>0</v>
      </c>
      <c r="E16" s="668">
        <f t="shared" ca="1" si="0"/>
        <v>71835.270430571007</v>
      </c>
      <c r="F16" s="668">
        <f t="shared" si="0"/>
        <v>1073.1258779292198</v>
      </c>
      <c r="G16" s="668">
        <f t="shared" ca="1" si="0"/>
        <v>29255.760839501891</v>
      </c>
      <c r="H16" s="668">
        <f t="shared" si="0"/>
        <v>0</v>
      </c>
      <c r="I16" s="668">
        <f t="shared" si="0"/>
        <v>0</v>
      </c>
      <c r="J16" s="668">
        <f t="shared" si="0"/>
        <v>0</v>
      </c>
      <c r="K16" s="668">
        <f t="shared" si="0"/>
        <v>610.50497669557433</v>
      </c>
      <c r="L16" s="668">
        <f t="shared" si="0"/>
        <v>0</v>
      </c>
      <c r="M16" s="668">
        <f t="shared" ca="1" si="0"/>
        <v>0</v>
      </c>
      <c r="N16" s="668">
        <f t="shared" si="0"/>
        <v>0</v>
      </c>
      <c r="O16" s="668">
        <f t="shared" ca="1" si="0"/>
        <v>5433.3766411245088</v>
      </c>
      <c r="P16" s="668">
        <f t="shared" si="0"/>
        <v>79.73</v>
      </c>
      <c r="Q16" s="668">
        <f t="shared" si="0"/>
        <v>152.53333333333333</v>
      </c>
      <c r="R16" s="668">
        <f t="shared" ca="1" si="0"/>
        <v>139693.35499670185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5.8442599982981633</v>
      </c>
      <c r="D19" s="635">
        <f>transport!C54</f>
        <v>0</v>
      </c>
      <c r="E19" s="635">
        <f>transport!D54</f>
        <v>0</v>
      </c>
      <c r="F19" s="635">
        <f>transport!E54</f>
        <v>0</v>
      </c>
      <c r="G19" s="635">
        <f>transport!F54</f>
        <v>0</v>
      </c>
      <c r="H19" s="635">
        <f>transport!G54</f>
        <v>1267.8535310882178</v>
      </c>
      <c r="I19" s="635">
        <f>transport!H54</f>
        <v>0</v>
      </c>
      <c r="J19" s="635">
        <f>transport!I54</f>
        <v>0</v>
      </c>
      <c r="K19" s="635">
        <f>transport!J54</f>
        <v>0</v>
      </c>
      <c r="L19" s="635">
        <f>transport!K54</f>
        <v>0</v>
      </c>
      <c r="M19" s="635">
        <f>transport!L54</f>
        <v>0</v>
      </c>
      <c r="N19" s="635">
        <f>transport!M54</f>
        <v>54.284618060053894</v>
      </c>
      <c r="O19" s="635">
        <f>transport!N54</f>
        <v>0</v>
      </c>
      <c r="P19" s="635">
        <f>transport!O54</f>
        <v>0</v>
      </c>
      <c r="Q19" s="636">
        <f>transport!P54</f>
        <v>0</v>
      </c>
      <c r="R19" s="638">
        <f>SUM(C19:Q19)</f>
        <v>1327.9824091465698</v>
      </c>
      <c r="S19" s="67"/>
    </row>
    <row r="20" spans="1:19" s="441" customFormat="1">
      <c r="A20" s="749" t="s">
        <v>296</v>
      </c>
      <c r="B20" s="754"/>
      <c r="C20" s="635">
        <f>transport!B14</f>
        <v>2.4137787583044421</v>
      </c>
      <c r="D20" s="635">
        <f>transport!C14</f>
        <v>0</v>
      </c>
      <c r="E20" s="635">
        <f>transport!D14</f>
        <v>8.1742630552516538</v>
      </c>
      <c r="F20" s="635">
        <f>transport!E14</f>
        <v>965.25086843458371</v>
      </c>
      <c r="G20" s="635">
        <f>transport!F14</f>
        <v>0</v>
      </c>
      <c r="H20" s="635">
        <f>transport!G14</f>
        <v>155924.01400667935</v>
      </c>
      <c r="I20" s="635">
        <f>transport!H14</f>
        <v>29270.902752978422</v>
      </c>
      <c r="J20" s="635">
        <f>transport!I14</f>
        <v>0</v>
      </c>
      <c r="K20" s="635">
        <f>transport!J14</f>
        <v>0</v>
      </c>
      <c r="L20" s="635">
        <f>transport!K14</f>
        <v>0</v>
      </c>
      <c r="M20" s="635">
        <f>transport!L14</f>
        <v>0</v>
      </c>
      <c r="N20" s="635">
        <f>transport!M14</f>
        <v>8064.2734221150004</v>
      </c>
      <c r="O20" s="635">
        <f>transport!N14</f>
        <v>0</v>
      </c>
      <c r="P20" s="635">
        <f>transport!O14</f>
        <v>0</v>
      </c>
      <c r="Q20" s="636">
        <f>transport!P14</f>
        <v>0</v>
      </c>
      <c r="R20" s="638">
        <f>SUM(C20:Q20)</f>
        <v>194235.02909202091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8.2580387566026054</v>
      </c>
      <c r="D22" s="752">
        <f t="shared" ref="D22:R22" si="1">SUM(D18:D21)</f>
        <v>0</v>
      </c>
      <c r="E22" s="752">
        <f t="shared" si="1"/>
        <v>8.1742630552516538</v>
      </c>
      <c r="F22" s="752">
        <f t="shared" si="1"/>
        <v>965.25086843458371</v>
      </c>
      <c r="G22" s="752">
        <f t="shared" si="1"/>
        <v>0</v>
      </c>
      <c r="H22" s="752">
        <f t="shared" si="1"/>
        <v>157191.86753776757</v>
      </c>
      <c r="I22" s="752">
        <f t="shared" si="1"/>
        <v>29270.902752978422</v>
      </c>
      <c r="J22" s="752">
        <f t="shared" si="1"/>
        <v>0</v>
      </c>
      <c r="K22" s="752">
        <f t="shared" si="1"/>
        <v>0</v>
      </c>
      <c r="L22" s="752">
        <f t="shared" si="1"/>
        <v>0</v>
      </c>
      <c r="M22" s="752">
        <f t="shared" si="1"/>
        <v>0</v>
      </c>
      <c r="N22" s="752">
        <f t="shared" si="1"/>
        <v>8118.558040175054</v>
      </c>
      <c r="O22" s="752">
        <f t="shared" si="1"/>
        <v>0</v>
      </c>
      <c r="P22" s="752">
        <f t="shared" si="1"/>
        <v>0</v>
      </c>
      <c r="Q22" s="752">
        <f t="shared" si="1"/>
        <v>0</v>
      </c>
      <c r="R22" s="752">
        <f t="shared" si="1"/>
        <v>195563.01150116746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151.7325946939967</v>
      </c>
      <c r="D24" s="635">
        <f>+landbouw!C8</f>
        <v>0</v>
      </c>
      <c r="E24" s="635">
        <f>+landbouw!D8</f>
        <v>305.93860715514677</v>
      </c>
      <c r="F24" s="635">
        <f>+landbouw!E8</f>
        <v>1.3673032098862219</v>
      </c>
      <c r="G24" s="635">
        <f>+landbouw!F8</f>
        <v>568.54666000930365</v>
      </c>
      <c r="H24" s="635">
        <f>+landbouw!G8</f>
        <v>0</v>
      </c>
      <c r="I24" s="635">
        <f>+landbouw!H8</f>
        <v>0</v>
      </c>
      <c r="J24" s="635">
        <f>+landbouw!I8</f>
        <v>0</v>
      </c>
      <c r="K24" s="635">
        <f>+landbouw!J8</f>
        <v>15.354711034544017</v>
      </c>
      <c r="L24" s="635">
        <f>+landbouw!K8</f>
        <v>0</v>
      </c>
      <c r="M24" s="635">
        <f>+landbouw!L8</f>
        <v>0</v>
      </c>
      <c r="N24" s="635">
        <f>+landbouw!M8</f>
        <v>0</v>
      </c>
      <c r="O24" s="635">
        <f>+landbouw!N8</f>
        <v>0</v>
      </c>
      <c r="P24" s="635">
        <f>+landbouw!O8</f>
        <v>0</v>
      </c>
      <c r="Q24" s="636">
        <f>+landbouw!P8</f>
        <v>0</v>
      </c>
      <c r="R24" s="638">
        <f>SUM(C24:Q24)</f>
        <v>1042.9398761028774</v>
      </c>
      <c r="S24" s="67"/>
    </row>
    <row r="25" spans="1:19" s="441" customFormat="1" ht="15" thickBot="1">
      <c r="A25" s="771" t="s">
        <v>864</v>
      </c>
      <c r="B25" s="923"/>
      <c r="C25" s="924">
        <f>IF(Onbekend_ele_kWh="---",0,Onbekend_ele_kWh)/1000+IF(REST_rest_ele_kWh="---",0,REST_rest_ele_kWh)/1000</f>
        <v>871.93624655681197</v>
      </c>
      <c r="D25" s="924"/>
      <c r="E25" s="924">
        <f>IF(onbekend_gas_kWh="---",0,onbekend_gas_kWh)/1000+IF(REST_rest_gas_kWh="---",0,REST_rest_gas_kWh)/1000</f>
        <v>1624.22603200252</v>
      </c>
      <c r="F25" s="924"/>
      <c r="G25" s="924"/>
      <c r="H25" s="924"/>
      <c r="I25" s="924"/>
      <c r="J25" s="924"/>
      <c r="K25" s="924"/>
      <c r="L25" s="924"/>
      <c r="M25" s="924"/>
      <c r="N25" s="924"/>
      <c r="O25" s="924"/>
      <c r="P25" s="924"/>
      <c r="Q25" s="925"/>
      <c r="R25" s="638">
        <f>SUM(C25:Q25)</f>
        <v>2496.1622785593318</v>
      </c>
      <c r="S25" s="67"/>
    </row>
    <row r="26" spans="1:19" s="441" customFormat="1" ht="15.75" thickBot="1">
      <c r="A26" s="641" t="s">
        <v>865</v>
      </c>
      <c r="B26" s="757"/>
      <c r="C26" s="752">
        <f>SUM(C24:C25)</f>
        <v>1023.6688412508087</v>
      </c>
      <c r="D26" s="752">
        <f t="shared" ref="D26:R26" si="2">SUM(D24:D25)</f>
        <v>0</v>
      </c>
      <c r="E26" s="752">
        <f t="shared" si="2"/>
        <v>1930.1646391576669</v>
      </c>
      <c r="F26" s="752">
        <f t="shared" si="2"/>
        <v>1.3673032098862219</v>
      </c>
      <c r="G26" s="752">
        <f t="shared" si="2"/>
        <v>568.54666000930365</v>
      </c>
      <c r="H26" s="752">
        <f t="shared" si="2"/>
        <v>0</v>
      </c>
      <c r="I26" s="752">
        <f t="shared" si="2"/>
        <v>0</v>
      </c>
      <c r="J26" s="752">
        <f t="shared" si="2"/>
        <v>0</v>
      </c>
      <c r="K26" s="752">
        <f t="shared" si="2"/>
        <v>15.354711034544017</v>
      </c>
      <c r="L26" s="752">
        <f t="shared" si="2"/>
        <v>0</v>
      </c>
      <c r="M26" s="752">
        <f t="shared" si="2"/>
        <v>0</v>
      </c>
      <c r="N26" s="752">
        <f t="shared" si="2"/>
        <v>0</v>
      </c>
      <c r="O26" s="752">
        <f t="shared" si="2"/>
        <v>0</v>
      </c>
      <c r="P26" s="752">
        <f t="shared" si="2"/>
        <v>0</v>
      </c>
      <c r="Q26" s="752">
        <f t="shared" si="2"/>
        <v>0</v>
      </c>
      <c r="R26" s="752">
        <f t="shared" si="2"/>
        <v>3539.1021546622092</v>
      </c>
      <c r="S26" s="67"/>
    </row>
    <row r="27" spans="1:19" s="441" customFormat="1" ht="17.25" thickTop="1" thickBot="1">
      <c r="A27" s="642" t="s">
        <v>109</v>
      </c>
      <c r="B27" s="744"/>
      <c r="C27" s="643">
        <f ca="1">C22+C16+C26</f>
        <v>32284.979777553723</v>
      </c>
      <c r="D27" s="643">
        <f t="shared" ref="D27:R27" ca="1" si="3">D22+D16+D26</f>
        <v>0</v>
      </c>
      <c r="E27" s="643">
        <f t="shared" ca="1" si="3"/>
        <v>73773.609332783919</v>
      </c>
      <c r="F27" s="643">
        <f t="shared" si="3"/>
        <v>2039.7440495736896</v>
      </c>
      <c r="G27" s="643">
        <f t="shared" ca="1" si="3"/>
        <v>29824.307499511193</v>
      </c>
      <c r="H27" s="643">
        <f t="shared" si="3"/>
        <v>157191.86753776757</v>
      </c>
      <c r="I27" s="643">
        <f t="shared" si="3"/>
        <v>29270.902752978422</v>
      </c>
      <c r="J27" s="643">
        <f t="shared" si="3"/>
        <v>0</v>
      </c>
      <c r="K27" s="643">
        <f t="shared" si="3"/>
        <v>625.85968773011837</v>
      </c>
      <c r="L27" s="643">
        <f t="shared" si="3"/>
        <v>0</v>
      </c>
      <c r="M27" s="643">
        <f t="shared" ca="1" si="3"/>
        <v>0</v>
      </c>
      <c r="N27" s="643">
        <f t="shared" si="3"/>
        <v>8118.558040175054</v>
      </c>
      <c r="O27" s="643">
        <f t="shared" ca="1" si="3"/>
        <v>5433.3766411245088</v>
      </c>
      <c r="P27" s="643">
        <f t="shared" si="3"/>
        <v>79.73</v>
      </c>
      <c r="Q27" s="643">
        <f t="shared" si="3"/>
        <v>152.53333333333333</v>
      </c>
      <c r="R27" s="643">
        <f t="shared" ca="1" si="3"/>
        <v>338795.4686525315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2482.9455197885441</v>
      </c>
      <c r="D40" s="635">
        <f ca="1">tertiair!C20</f>
        <v>0</v>
      </c>
      <c r="E40" s="635">
        <f ca="1">tertiair!D20</f>
        <v>3112.9114977906311</v>
      </c>
      <c r="F40" s="635">
        <f>tertiair!E20</f>
        <v>61.23288886651256</v>
      </c>
      <c r="G40" s="635">
        <f ca="1">tertiair!F20</f>
        <v>491.78420035657649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6148.8741068022646</v>
      </c>
    </row>
    <row r="41" spans="1:18">
      <c r="A41" s="762" t="s">
        <v>214</v>
      </c>
      <c r="B41" s="769"/>
      <c r="C41" s="635">
        <f ca="1">huishoudens!B12</f>
        <v>4158.7124964346367</v>
      </c>
      <c r="D41" s="635">
        <f ca="1">huishoudens!C12</f>
        <v>0</v>
      </c>
      <c r="E41" s="635">
        <f>huishoudens!D12</f>
        <v>11197.318811443023</v>
      </c>
      <c r="F41" s="635">
        <f>huishoudens!E12</f>
        <v>179.88505290127378</v>
      </c>
      <c r="G41" s="635">
        <f>huishoudens!F12</f>
        <v>7222.253039857098</v>
      </c>
      <c r="H41" s="635">
        <f>huishoudens!G12</f>
        <v>0</v>
      </c>
      <c r="I41" s="635">
        <f>huishoudens!H12</f>
        <v>0</v>
      </c>
      <c r="J41" s="635">
        <f>huishoudens!I12</f>
        <v>0</v>
      </c>
      <c r="K41" s="635">
        <f>huishoudens!J12</f>
        <v>215.61759214267508</v>
      </c>
      <c r="L41" s="635">
        <f>huishoudens!K12</f>
        <v>0</v>
      </c>
      <c r="M41" s="635">
        <f>huishoudens!L12</f>
        <v>0</v>
      </c>
      <c r="N41" s="635">
        <f>huishoudens!M12</f>
        <v>0</v>
      </c>
      <c r="O41" s="635">
        <f>huishoudens!N12</f>
        <v>0</v>
      </c>
      <c r="P41" s="635">
        <f>huishoudens!O12</f>
        <v>0</v>
      </c>
      <c r="Q41" s="710">
        <f>huishoudens!P12</f>
        <v>0</v>
      </c>
      <c r="R41" s="790">
        <f t="shared" ca="1" si="4"/>
        <v>22973.786992778711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147.25834046254116</v>
      </c>
      <c r="D43" s="635">
        <f ca="1">industrie!C22</f>
        <v>0</v>
      </c>
      <c r="E43" s="635">
        <f>industrie!D22</f>
        <v>200.49431774168869</v>
      </c>
      <c r="F43" s="635">
        <f>industrie!E22</f>
        <v>2.4816325221465667</v>
      </c>
      <c r="G43" s="635">
        <f>industrie!F22</f>
        <v>97.250903933330633</v>
      </c>
      <c r="H43" s="635">
        <f>industrie!G22</f>
        <v>0</v>
      </c>
      <c r="I43" s="635">
        <f>industrie!H22</f>
        <v>0</v>
      </c>
      <c r="J43" s="635">
        <f>industrie!I22</f>
        <v>0</v>
      </c>
      <c r="K43" s="635">
        <f>industrie!J22</f>
        <v>0.50116960755821061</v>
      </c>
      <c r="L43" s="635">
        <f>industrie!K22</f>
        <v>0</v>
      </c>
      <c r="M43" s="635">
        <f>industrie!L22</f>
        <v>0</v>
      </c>
      <c r="N43" s="635">
        <f>industrie!M22</f>
        <v>0</v>
      </c>
      <c r="O43" s="635">
        <f>industrie!N22</f>
        <v>0</v>
      </c>
      <c r="P43" s="635">
        <f>industrie!O22</f>
        <v>0</v>
      </c>
      <c r="Q43" s="710">
        <f>industrie!P22</f>
        <v>0</v>
      </c>
      <c r="R43" s="789">
        <f t="shared" ca="1" si="4"/>
        <v>447.98636426726529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6788.9163566857214</v>
      </c>
      <c r="D46" s="668">
        <f t="shared" ref="D46:Q46" ca="1" si="5">SUM(D39:D45)</f>
        <v>0</v>
      </c>
      <c r="E46" s="668">
        <f t="shared" ca="1" si="5"/>
        <v>14510.724626975343</v>
      </c>
      <c r="F46" s="668">
        <f t="shared" si="5"/>
        <v>243.59957428993289</v>
      </c>
      <c r="G46" s="668">
        <f t="shared" ca="1" si="5"/>
        <v>7811.2881441470054</v>
      </c>
      <c r="H46" s="668">
        <f t="shared" si="5"/>
        <v>0</v>
      </c>
      <c r="I46" s="668">
        <f t="shared" si="5"/>
        <v>0</v>
      </c>
      <c r="J46" s="668">
        <f t="shared" si="5"/>
        <v>0</v>
      </c>
      <c r="K46" s="668">
        <f t="shared" si="5"/>
        <v>216.11876175023329</v>
      </c>
      <c r="L46" s="668">
        <f t="shared" si="5"/>
        <v>0</v>
      </c>
      <c r="M46" s="668">
        <f t="shared" ca="1" si="5"/>
        <v>0</v>
      </c>
      <c r="N46" s="668">
        <f t="shared" si="5"/>
        <v>0</v>
      </c>
      <c r="O46" s="668">
        <f t="shared" ca="1" si="5"/>
        <v>0</v>
      </c>
      <c r="P46" s="668">
        <f t="shared" si="5"/>
        <v>0</v>
      </c>
      <c r="Q46" s="668">
        <f t="shared" si="5"/>
        <v>0</v>
      </c>
      <c r="R46" s="668">
        <f ca="1">SUM(R39:R45)</f>
        <v>29570.64746384824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1.2695141311550227</v>
      </c>
      <c r="D49" s="635">
        <f ca="1">transport!C58</f>
        <v>0</v>
      </c>
      <c r="E49" s="635">
        <f>transport!D58</f>
        <v>0</v>
      </c>
      <c r="F49" s="635">
        <f>transport!E58</f>
        <v>0</v>
      </c>
      <c r="G49" s="635">
        <f>transport!F58</f>
        <v>0</v>
      </c>
      <c r="H49" s="635">
        <f>transport!G58</f>
        <v>338.51689280055416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339.78640693170917</v>
      </c>
    </row>
    <row r="50" spans="1:18">
      <c r="A50" s="765" t="s">
        <v>296</v>
      </c>
      <c r="B50" s="775"/>
      <c r="C50" s="930">
        <f ca="1">transport!B18</f>
        <v>0.52433092368266276</v>
      </c>
      <c r="D50" s="930">
        <f>transport!C18</f>
        <v>0</v>
      </c>
      <c r="E50" s="930">
        <f>transport!D18</f>
        <v>1.6512011371608342</v>
      </c>
      <c r="F50" s="930">
        <f>transport!E18</f>
        <v>219.11194713465051</v>
      </c>
      <c r="G50" s="930">
        <f>transport!F18</f>
        <v>0</v>
      </c>
      <c r="H50" s="930">
        <f>transport!G18</f>
        <v>41631.711739783386</v>
      </c>
      <c r="I50" s="930">
        <f>transport!H18</f>
        <v>7288.4547854916273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49141.454004470506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1.7938450548376854</v>
      </c>
      <c r="D52" s="668">
        <f t="shared" ref="D52:Q52" ca="1" si="6">SUM(D48:D51)</f>
        <v>0</v>
      </c>
      <c r="E52" s="668">
        <f t="shared" si="6"/>
        <v>1.6512011371608342</v>
      </c>
      <c r="F52" s="668">
        <f t="shared" si="6"/>
        <v>219.11194713465051</v>
      </c>
      <c r="G52" s="668">
        <f t="shared" si="6"/>
        <v>0</v>
      </c>
      <c r="H52" s="668">
        <f t="shared" si="6"/>
        <v>41970.228632583938</v>
      </c>
      <c r="I52" s="668">
        <f t="shared" si="6"/>
        <v>7288.4547854916273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49481.240411402214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32.959976656914463</v>
      </c>
      <c r="D54" s="930">
        <f ca="1">+landbouw!C12</f>
        <v>0</v>
      </c>
      <c r="E54" s="930">
        <f>+landbouw!D12</f>
        <v>61.79959864533965</v>
      </c>
      <c r="F54" s="930">
        <f>+landbouw!E12</f>
        <v>0.3103778286441724</v>
      </c>
      <c r="G54" s="930">
        <f>+landbouw!F12</f>
        <v>151.80195822248407</v>
      </c>
      <c r="H54" s="930">
        <f>+landbouw!G12</f>
        <v>0</v>
      </c>
      <c r="I54" s="930">
        <f>+landbouw!H12</f>
        <v>0</v>
      </c>
      <c r="J54" s="930">
        <f>+landbouw!I12</f>
        <v>0</v>
      </c>
      <c r="K54" s="930">
        <f>+landbouw!J12</f>
        <v>5.4355677062285821</v>
      </c>
      <c r="L54" s="930">
        <f>+landbouw!K12</f>
        <v>0</v>
      </c>
      <c r="M54" s="930">
        <f>+landbouw!L12</f>
        <v>0</v>
      </c>
      <c r="N54" s="930">
        <f>+landbouw!M12</f>
        <v>0</v>
      </c>
      <c r="O54" s="930">
        <f>+landbouw!N12</f>
        <v>0</v>
      </c>
      <c r="P54" s="930">
        <f>+landbouw!O12</f>
        <v>0</v>
      </c>
      <c r="Q54" s="931">
        <f>+landbouw!P12</f>
        <v>0</v>
      </c>
      <c r="R54" s="667">
        <f ca="1">SUM(C54:Q54)</f>
        <v>252.30747905961096</v>
      </c>
    </row>
    <row r="55" spans="1:18" ht="15" thickBot="1">
      <c r="A55" s="765" t="s">
        <v>864</v>
      </c>
      <c r="B55" s="775"/>
      <c r="C55" s="930">
        <f ca="1">C25*'EF ele_warmte'!B12</f>
        <v>189.40556833413984</v>
      </c>
      <c r="D55" s="930"/>
      <c r="E55" s="930">
        <f>E25*EF_CO2_aardgas</f>
        <v>328.09365846450908</v>
      </c>
      <c r="F55" s="930"/>
      <c r="G55" s="930"/>
      <c r="H55" s="930"/>
      <c r="I55" s="930"/>
      <c r="J55" s="930"/>
      <c r="K55" s="930"/>
      <c r="L55" s="930"/>
      <c r="M55" s="930"/>
      <c r="N55" s="930"/>
      <c r="O55" s="930"/>
      <c r="P55" s="930"/>
      <c r="Q55" s="931"/>
      <c r="R55" s="667">
        <f ca="1">SUM(C55:Q55)</f>
        <v>517.49922679864892</v>
      </c>
    </row>
    <row r="56" spans="1:18" ht="15.75" thickBot="1">
      <c r="A56" s="763" t="s">
        <v>865</v>
      </c>
      <c r="B56" s="776"/>
      <c r="C56" s="668">
        <f ca="1">SUM(C54:C55)</f>
        <v>222.36554499105432</v>
      </c>
      <c r="D56" s="668">
        <f t="shared" ref="D56:Q56" ca="1" si="7">SUM(D54:D55)</f>
        <v>0</v>
      </c>
      <c r="E56" s="668">
        <f t="shared" si="7"/>
        <v>389.89325710984872</v>
      </c>
      <c r="F56" s="668">
        <f t="shared" si="7"/>
        <v>0.3103778286441724</v>
      </c>
      <c r="G56" s="668">
        <f t="shared" si="7"/>
        <v>151.80195822248407</v>
      </c>
      <c r="H56" s="668">
        <f t="shared" si="7"/>
        <v>0</v>
      </c>
      <c r="I56" s="668">
        <f t="shared" si="7"/>
        <v>0</v>
      </c>
      <c r="J56" s="668">
        <f t="shared" si="7"/>
        <v>0</v>
      </c>
      <c r="K56" s="668">
        <f t="shared" si="7"/>
        <v>5.4355677062285821</v>
      </c>
      <c r="L56" s="668">
        <f t="shared" si="7"/>
        <v>0</v>
      </c>
      <c r="M56" s="668">
        <f t="shared" si="7"/>
        <v>0</v>
      </c>
      <c r="N56" s="668">
        <f t="shared" si="7"/>
        <v>0</v>
      </c>
      <c r="O56" s="668">
        <f t="shared" si="7"/>
        <v>0</v>
      </c>
      <c r="P56" s="668">
        <f t="shared" si="7"/>
        <v>0</v>
      </c>
      <c r="Q56" s="669">
        <f t="shared" si="7"/>
        <v>0</v>
      </c>
      <c r="R56" s="670">
        <f ca="1">SUM(R54:R55)</f>
        <v>769.80670585825987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7013.0757467316143</v>
      </c>
      <c r="D61" s="676">
        <f t="shared" ref="D61:Q61" ca="1" si="8">D46+D52+D56</f>
        <v>0</v>
      </c>
      <c r="E61" s="676">
        <f t="shared" ca="1" si="8"/>
        <v>14902.269085222353</v>
      </c>
      <c r="F61" s="676">
        <f t="shared" si="8"/>
        <v>463.02189925322756</v>
      </c>
      <c r="G61" s="676">
        <f t="shared" ca="1" si="8"/>
        <v>7963.0901023694896</v>
      </c>
      <c r="H61" s="676">
        <f t="shared" si="8"/>
        <v>41970.228632583938</v>
      </c>
      <c r="I61" s="676">
        <f t="shared" si="8"/>
        <v>7288.4547854916273</v>
      </c>
      <c r="J61" s="676">
        <f t="shared" si="8"/>
        <v>0</v>
      </c>
      <c r="K61" s="676">
        <f t="shared" si="8"/>
        <v>221.55432945646186</v>
      </c>
      <c r="L61" s="676">
        <f t="shared" si="8"/>
        <v>0</v>
      </c>
      <c r="M61" s="676">
        <f t="shared" ca="1" si="8"/>
        <v>0</v>
      </c>
      <c r="N61" s="676">
        <f t="shared" si="8"/>
        <v>0</v>
      </c>
      <c r="O61" s="676">
        <f t="shared" ca="1" si="8"/>
        <v>0</v>
      </c>
      <c r="P61" s="676">
        <f t="shared" si="8"/>
        <v>0</v>
      </c>
      <c r="Q61" s="676">
        <f t="shared" si="8"/>
        <v>0</v>
      </c>
      <c r="R61" s="676">
        <f ca="1">R46+R52+R56</f>
        <v>79821.694581108706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0.2172241022002277</v>
      </c>
      <c r="D63" s="720">
        <f t="shared" ca="1" si="9"/>
        <v>0</v>
      </c>
      <c r="E63" s="932">
        <f t="shared" ca="1" si="9"/>
        <v>0.20200000000000001</v>
      </c>
      <c r="F63" s="720">
        <f t="shared" si="9"/>
        <v>0.22700000000000001</v>
      </c>
      <c r="G63" s="720">
        <f t="shared" ca="1" si="9"/>
        <v>0.26700000000000002</v>
      </c>
      <c r="H63" s="720">
        <f t="shared" si="9"/>
        <v>0.26699999999999996</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551.60535795365831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551.60535795365831</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19144.802323092663</v>
      </c>
      <c r="C4" s="445">
        <f>huishoudens!C8</f>
        <v>0</v>
      </c>
      <c r="D4" s="445">
        <f>huishoudens!D8</f>
        <v>55432.271343777335</v>
      </c>
      <c r="E4" s="445">
        <f>huishoudens!E8</f>
        <v>792.44516696596372</v>
      </c>
      <c r="F4" s="445">
        <f>huishoudens!F8</f>
        <v>27049.636853397369</v>
      </c>
      <c r="G4" s="445">
        <f>huishoudens!G8</f>
        <v>0</v>
      </c>
      <c r="H4" s="445">
        <f>huishoudens!H8</f>
        <v>0</v>
      </c>
      <c r="I4" s="445">
        <f>huishoudens!I8</f>
        <v>0</v>
      </c>
      <c r="J4" s="445">
        <f>huishoudens!J8</f>
        <v>609.08924334089011</v>
      </c>
      <c r="K4" s="445">
        <f>huishoudens!K8</f>
        <v>0</v>
      </c>
      <c r="L4" s="445">
        <f>huishoudens!L8</f>
        <v>0</v>
      </c>
      <c r="M4" s="445">
        <f>huishoudens!M8</f>
        <v>0</v>
      </c>
      <c r="N4" s="445">
        <f>huishoudens!N8</f>
        <v>5017.6459653327456</v>
      </c>
      <c r="O4" s="445">
        <f>huishoudens!O8</f>
        <v>79.73</v>
      </c>
      <c r="P4" s="446">
        <f>huishoudens!P8</f>
        <v>114.4</v>
      </c>
      <c r="Q4" s="447">
        <f>SUM(B4:P4)</f>
        <v>108240.02089590696</v>
      </c>
    </row>
    <row r="5" spans="1:17">
      <c r="A5" s="444" t="s">
        <v>149</v>
      </c>
      <c r="B5" s="445">
        <f ca="1">tertiair!B16</f>
        <v>10737.935807669093</v>
      </c>
      <c r="C5" s="445">
        <f ca="1">tertiair!C16</f>
        <v>0</v>
      </c>
      <c r="D5" s="445">
        <f ca="1">tertiair!D16</f>
        <v>15410.452959359558</v>
      </c>
      <c r="E5" s="445">
        <f>tertiair!E16</f>
        <v>269.74840910357955</v>
      </c>
      <c r="F5" s="445">
        <f ca="1">tertiair!F16</f>
        <v>1841.8883908486009</v>
      </c>
      <c r="G5" s="445">
        <f>tertiair!G16</f>
        <v>0</v>
      </c>
      <c r="H5" s="445">
        <f>tertiair!H16</f>
        <v>0</v>
      </c>
      <c r="I5" s="445">
        <f>tertiair!I16</f>
        <v>0</v>
      </c>
      <c r="J5" s="445">
        <f>tertiair!J16</f>
        <v>0</v>
      </c>
      <c r="K5" s="445">
        <f>tertiair!K16</f>
        <v>0</v>
      </c>
      <c r="L5" s="445">
        <f ca="1">tertiair!L16</f>
        <v>0</v>
      </c>
      <c r="M5" s="445">
        <f>tertiair!M16</f>
        <v>0</v>
      </c>
      <c r="N5" s="445">
        <f ca="1">tertiair!N16</f>
        <v>383.03574954832027</v>
      </c>
      <c r="O5" s="445">
        <f>tertiair!O16</f>
        <v>0</v>
      </c>
      <c r="P5" s="446">
        <f>tertiair!P16</f>
        <v>38.133333333333333</v>
      </c>
      <c r="Q5" s="444">
        <f t="shared" ref="Q5:Q14" ca="1" si="0">SUM(B5:P5)</f>
        <v>28681.194649862486</v>
      </c>
    </row>
    <row r="6" spans="1:17">
      <c r="A6" s="444" t="s">
        <v>187</v>
      </c>
      <c r="B6" s="445">
        <f>'openbare verlichting'!B8</f>
        <v>692.40499999999997</v>
      </c>
      <c r="C6" s="445"/>
      <c r="D6" s="445"/>
      <c r="E6" s="445"/>
      <c r="F6" s="445"/>
      <c r="G6" s="445"/>
      <c r="H6" s="445"/>
      <c r="I6" s="445"/>
      <c r="J6" s="445"/>
      <c r="K6" s="445"/>
      <c r="L6" s="445"/>
      <c r="M6" s="445"/>
      <c r="N6" s="445"/>
      <c r="O6" s="445"/>
      <c r="P6" s="446"/>
      <c r="Q6" s="444">
        <f t="shared" si="0"/>
        <v>692.40499999999997</v>
      </c>
    </row>
    <row r="7" spans="1:17">
      <c r="A7" s="444" t="s">
        <v>105</v>
      </c>
      <c r="B7" s="445">
        <f>landbouw!B8</f>
        <v>151.7325946939967</v>
      </c>
      <c r="C7" s="445">
        <f>landbouw!C8</f>
        <v>0</v>
      </c>
      <c r="D7" s="445">
        <f>landbouw!D8</f>
        <v>305.93860715514677</v>
      </c>
      <c r="E7" s="445">
        <f>landbouw!E8</f>
        <v>1.3673032098862219</v>
      </c>
      <c r="F7" s="445">
        <f>landbouw!F8</f>
        <v>568.54666000930365</v>
      </c>
      <c r="G7" s="445">
        <f>landbouw!G8</f>
        <v>0</v>
      </c>
      <c r="H7" s="445">
        <f>landbouw!H8</f>
        <v>0</v>
      </c>
      <c r="I7" s="445">
        <f>landbouw!I8</f>
        <v>0</v>
      </c>
      <c r="J7" s="445">
        <f>landbouw!J8</f>
        <v>15.354711034544017</v>
      </c>
      <c r="K7" s="445">
        <f>landbouw!K8</f>
        <v>0</v>
      </c>
      <c r="L7" s="445">
        <f>landbouw!L8</f>
        <v>0</v>
      </c>
      <c r="M7" s="445">
        <f>landbouw!M8</f>
        <v>0</v>
      </c>
      <c r="N7" s="445">
        <f>landbouw!N8</f>
        <v>0</v>
      </c>
      <c r="O7" s="445">
        <f>landbouw!O8</f>
        <v>0</v>
      </c>
      <c r="P7" s="446">
        <f>landbouw!P8</f>
        <v>0</v>
      </c>
      <c r="Q7" s="444">
        <f t="shared" si="0"/>
        <v>1042.9398761028774</v>
      </c>
    </row>
    <row r="8" spans="1:17">
      <c r="A8" s="444" t="s">
        <v>613</v>
      </c>
      <c r="B8" s="445">
        <f>industrie!B18</f>
        <v>677.90976678455718</v>
      </c>
      <c r="C8" s="445">
        <f>industrie!C18</f>
        <v>0</v>
      </c>
      <c r="D8" s="445">
        <f>industrie!D18</f>
        <v>992.54612743410235</v>
      </c>
      <c r="E8" s="445">
        <f>industrie!E18</f>
        <v>10.932301859676505</v>
      </c>
      <c r="F8" s="445">
        <f>industrie!F18</f>
        <v>364.23559525591997</v>
      </c>
      <c r="G8" s="445">
        <f>industrie!G18</f>
        <v>0</v>
      </c>
      <c r="H8" s="445">
        <f>industrie!H18</f>
        <v>0</v>
      </c>
      <c r="I8" s="445">
        <f>industrie!I18</f>
        <v>0</v>
      </c>
      <c r="J8" s="445">
        <f>industrie!J18</f>
        <v>1.4157333546842108</v>
      </c>
      <c r="K8" s="445">
        <f>industrie!K18</f>
        <v>0</v>
      </c>
      <c r="L8" s="445">
        <f>industrie!L18</f>
        <v>0</v>
      </c>
      <c r="M8" s="445">
        <f>industrie!M18</f>
        <v>0</v>
      </c>
      <c r="N8" s="445">
        <f>industrie!N18</f>
        <v>32.694926243442879</v>
      </c>
      <c r="O8" s="445">
        <f>industrie!O18</f>
        <v>0</v>
      </c>
      <c r="P8" s="446">
        <f>industrie!P18</f>
        <v>0</v>
      </c>
      <c r="Q8" s="444">
        <f t="shared" si="0"/>
        <v>2079.734450932383</v>
      </c>
    </row>
    <row r="9" spans="1:17" s="450" customFormat="1">
      <c r="A9" s="448" t="s">
        <v>555</v>
      </c>
      <c r="B9" s="449">
        <f>transport!B14</f>
        <v>2.4137787583044421</v>
      </c>
      <c r="C9" s="449">
        <f>transport!C14</f>
        <v>0</v>
      </c>
      <c r="D9" s="449">
        <f>transport!D14</f>
        <v>8.1742630552516538</v>
      </c>
      <c r="E9" s="449">
        <f>transport!E14</f>
        <v>965.25086843458371</v>
      </c>
      <c r="F9" s="449">
        <f>transport!F14</f>
        <v>0</v>
      </c>
      <c r="G9" s="449">
        <f>transport!G14</f>
        <v>155924.01400667935</v>
      </c>
      <c r="H9" s="449">
        <f>transport!H14</f>
        <v>29270.902752978422</v>
      </c>
      <c r="I9" s="449">
        <f>transport!I14</f>
        <v>0</v>
      </c>
      <c r="J9" s="449">
        <f>transport!J14</f>
        <v>0</v>
      </c>
      <c r="K9" s="449">
        <f>transport!K14</f>
        <v>0</v>
      </c>
      <c r="L9" s="449">
        <f>transport!L14</f>
        <v>0</v>
      </c>
      <c r="M9" s="449">
        <f>transport!M14</f>
        <v>8064.2734221150004</v>
      </c>
      <c r="N9" s="449">
        <f>transport!N14</f>
        <v>0</v>
      </c>
      <c r="O9" s="449">
        <f>transport!O14</f>
        <v>0</v>
      </c>
      <c r="P9" s="449">
        <f>transport!P14</f>
        <v>0</v>
      </c>
      <c r="Q9" s="448">
        <f>SUM(B9:P9)</f>
        <v>194235.02909202091</v>
      </c>
    </row>
    <row r="10" spans="1:17">
      <c r="A10" s="444" t="s">
        <v>545</v>
      </c>
      <c r="B10" s="445">
        <f>transport!B54</f>
        <v>5.8442599982981633</v>
      </c>
      <c r="C10" s="445">
        <f>transport!C54</f>
        <v>0</v>
      </c>
      <c r="D10" s="445">
        <f>transport!D54</f>
        <v>0</v>
      </c>
      <c r="E10" s="445">
        <f>transport!E54</f>
        <v>0</v>
      </c>
      <c r="F10" s="445">
        <f>transport!F54</f>
        <v>0</v>
      </c>
      <c r="G10" s="445">
        <f>transport!G54</f>
        <v>1267.8535310882178</v>
      </c>
      <c r="H10" s="445">
        <f>transport!H54</f>
        <v>0</v>
      </c>
      <c r="I10" s="445">
        <f>transport!I54</f>
        <v>0</v>
      </c>
      <c r="J10" s="445">
        <f>transport!J54</f>
        <v>0</v>
      </c>
      <c r="K10" s="445">
        <f>transport!K54</f>
        <v>0</v>
      </c>
      <c r="L10" s="445">
        <f>transport!L54</f>
        <v>0</v>
      </c>
      <c r="M10" s="445">
        <f>transport!M54</f>
        <v>54.284618060053894</v>
      </c>
      <c r="N10" s="445">
        <f>transport!N54</f>
        <v>0</v>
      </c>
      <c r="O10" s="445">
        <f>transport!O54</f>
        <v>0</v>
      </c>
      <c r="P10" s="446">
        <f>transport!P54</f>
        <v>0</v>
      </c>
      <c r="Q10" s="444">
        <f t="shared" si="0"/>
        <v>1327.9824091465698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871.93624655681197</v>
      </c>
      <c r="C14" s="452"/>
      <c r="D14" s="452">
        <f>'SEAP template'!E25</f>
        <v>1624.22603200252</v>
      </c>
      <c r="E14" s="452"/>
      <c r="F14" s="452"/>
      <c r="G14" s="452"/>
      <c r="H14" s="452"/>
      <c r="I14" s="452"/>
      <c r="J14" s="452"/>
      <c r="K14" s="452"/>
      <c r="L14" s="452"/>
      <c r="M14" s="452"/>
      <c r="N14" s="452"/>
      <c r="O14" s="452"/>
      <c r="P14" s="453"/>
      <c r="Q14" s="444">
        <f t="shared" si="0"/>
        <v>2496.1622785593318</v>
      </c>
    </row>
    <row r="15" spans="1:17" s="457" customFormat="1">
      <c r="A15" s="454" t="s">
        <v>549</v>
      </c>
      <c r="B15" s="455">
        <f ca="1">SUM(B4:B14)</f>
        <v>32284.979777553723</v>
      </c>
      <c r="C15" s="455">
        <f t="shared" ref="C15:Q15" ca="1" si="1">SUM(C4:C14)</f>
        <v>0</v>
      </c>
      <c r="D15" s="455">
        <f t="shared" ca="1" si="1"/>
        <v>73773.609332783919</v>
      </c>
      <c r="E15" s="455">
        <f t="shared" si="1"/>
        <v>2039.7440495736896</v>
      </c>
      <c r="F15" s="455">
        <f t="shared" ca="1" si="1"/>
        <v>29824.307499511193</v>
      </c>
      <c r="G15" s="455">
        <f t="shared" si="1"/>
        <v>157191.86753776757</v>
      </c>
      <c r="H15" s="455">
        <f t="shared" si="1"/>
        <v>29270.902752978422</v>
      </c>
      <c r="I15" s="455">
        <f t="shared" si="1"/>
        <v>0</v>
      </c>
      <c r="J15" s="455">
        <f t="shared" si="1"/>
        <v>625.85968773011837</v>
      </c>
      <c r="K15" s="455">
        <f t="shared" si="1"/>
        <v>0</v>
      </c>
      <c r="L15" s="455">
        <f t="shared" ca="1" si="1"/>
        <v>0</v>
      </c>
      <c r="M15" s="455">
        <f t="shared" si="1"/>
        <v>8118.558040175054</v>
      </c>
      <c r="N15" s="455">
        <f t="shared" ca="1" si="1"/>
        <v>5433.3766411245088</v>
      </c>
      <c r="O15" s="455">
        <f t="shared" si="1"/>
        <v>79.73</v>
      </c>
      <c r="P15" s="455">
        <f t="shared" si="1"/>
        <v>152.53333333333333</v>
      </c>
      <c r="Q15" s="455">
        <f t="shared" ca="1" si="1"/>
        <v>338795.4686525315</v>
      </c>
    </row>
    <row r="17" spans="1:17">
      <c r="A17" s="458" t="s">
        <v>550</v>
      </c>
      <c r="B17" s="725">
        <f ca="1">huishoudens!B10</f>
        <v>0.21722410220022767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4158.7124964346367</v>
      </c>
      <c r="C22" s="445">
        <f t="shared" ref="C22:C32" ca="1" si="3">C4*$C$17</f>
        <v>0</v>
      </c>
      <c r="D22" s="445">
        <f t="shared" ref="D22:D32" si="4">D4*$D$17</f>
        <v>11197.318811443023</v>
      </c>
      <c r="E22" s="445">
        <f t="shared" ref="E22:E32" si="5">E4*$E$17</f>
        <v>179.88505290127378</v>
      </c>
      <c r="F22" s="445">
        <f t="shared" ref="F22:F32" si="6">F4*$F$17</f>
        <v>7222.253039857098</v>
      </c>
      <c r="G22" s="445">
        <f t="shared" ref="G22:G32" si="7">G4*$G$17</f>
        <v>0</v>
      </c>
      <c r="H22" s="445">
        <f t="shared" ref="H22:H32" si="8">H4*$H$17</f>
        <v>0</v>
      </c>
      <c r="I22" s="445">
        <f t="shared" ref="I22:I32" si="9">I4*$I$17</f>
        <v>0</v>
      </c>
      <c r="J22" s="445">
        <f t="shared" ref="J22:J32" si="10">J4*$J$17</f>
        <v>215.61759214267508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22973.786992778711</v>
      </c>
    </row>
    <row r="23" spans="1:17">
      <c r="A23" s="444" t="s">
        <v>149</v>
      </c>
      <c r="B23" s="445">
        <f t="shared" ca="1" si="2"/>
        <v>2332.5384653045953</v>
      </c>
      <c r="C23" s="445">
        <f t="shared" ca="1" si="3"/>
        <v>0</v>
      </c>
      <c r="D23" s="445">
        <f t="shared" ca="1" si="4"/>
        <v>3112.9114977906311</v>
      </c>
      <c r="E23" s="445">
        <f t="shared" si="5"/>
        <v>61.23288886651256</v>
      </c>
      <c r="F23" s="445">
        <f t="shared" ca="1" si="6"/>
        <v>491.78420035657649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5998.4670523183158</v>
      </c>
    </row>
    <row r="24" spans="1:17">
      <c r="A24" s="444" t="s">
        <v>187</v>
      </c>
      <c r="B24" s="445">
        <f t="shared" ca="1" si="2"/>
        <v>150.40705448394863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150.40705448394863</v>
      </c>
    </row>
    <row r="25" spans="1:17">
      <c r="A25" s="444" t="s">
        <v>105</v>
      </c>
      <c r="B25" s="445">
        <f t="shared" ca="1" si="2"/>
        <v>32.959976656914463</v>
      </c>
      <c r="C25" s="445">
        <f t="shared" ca="1" si="3"/>
        <v>0</v>
      </c>
      <c r="D25" s="445">
        <f t="shared" si="4"/>
        <v>61.79959864533965</v>
      </c>
      <c r="E25" s="445">
        <f t="shared" si="5"/>
        <v>0.3103778286441724</v>
      </c>
      <c r="F25" s="445">
        <f t="shared" si="6"/>
        <v>151.80195822248407</v>
      </c>
      <c r="G25" s="445">
        <f t="shared" si="7"/>
        <v>0</v>
      </c>
      <c r="H25" s="445">
        <f t="shared" si="8"/>
        <v>0</v>
      </c>
      <c r="I25" s="445">
        <f t="shared" si="9"/>
        <v>0</v>
      </c>
      <c r="J25" s="445">
        <f t="shared" si="10"/>
        <v>5.4355677062285821</v>
      </c>
      <c r="K25" s="445">
        <f t="shared" si="11"/>
        <v>0</v>
      </c>
      <c r="L25" s="445">
        <f t="shared" si="12"/>
        <v>0</v>
      </c>
      <c r="M25" s="445">
        <f t="shared" si="13"/>
        <v>0</v>
      </c>
      <c r="N25" s="445">
        <f t="shared" si="14"/>
        <v>0</v>
      </c>
      <c r="O25" s="445">
        <f t="shared" si="15"/>
        <v>0</v>
      </c>
      <c r="P25" s="446">
        <f t="shared" si="16"/>
        <v>0</v>
      </c>
      <c r="Q25" s="444">
        <f t="shared" ca="1" si="17"/>
        <v>252.30747905961096</v>
      </c>
    </row>
    <row r="26" spans="1:17">
      <c r="A26" s="444" t="s">
        <v>613</v>
      </c>
      <c r="B26" s="445">
        <f t="shared" ca="1" si="2"/>
        <v>147.25834046254116</v>
      </c>
      <c r="C26" s="445">
        <f t="shared" ca="1" si="3"/>
        <v>0</v>
      </c>
      <c r="D26" s="445">
        <f t="shared" si="4"/>
        <v>200.49431774168869</v>
      </c>
      <c r="E26" s="445">
        <f t="shared" si="5"/>
        <v>2.4816325221465667</v>
      </c>
      <c r="F26" s="445">
        <f t="shared" si="6"/>
        <v>97.250903933330633</v>
      </c>
      <c r="G26" s="445">
        <f t="shared" si="7"/>
        <v>0</v>
      </c>
      <c r="H26" s="445">
        <f t="shared" si="8"/>
        <v>0</v>
      </c>
      <c r="I26" s="445">
        <f t="shared" si="9"/>
        <v>0</v>
      </c>
      <c r="J26" s="445">
        <f t="shared" si="10"/>
        <v>0.50116960755821061</v>
      </c>
      <c r="K26" s="445">
        <f t="shared" si="11"/>
        <v>0</v>
      </c>
      <c r="L26" s="445">
        <f t="shared" si="12"/>
        <v>0</v>
      </c>
      <c r="M26" s="445">
        <f t="shared" si="13"/>
        <v>0</v>
      </c>
      <c r="N26" s="445">
        <f t="shared" si="14"/>
        <v>0</v>
      </c>
      <c r="O26" s="445">
        <f t="shared" si="15"/>
        <v>0</v>
      </c>
      <c r="P26" s="446">
        <f t="shared" si="16"/>
        <v>0</v>
      </c>
      <c r="Q26" s="444">
        <f t="shared" ca="1" si="17"/>
        <v>447.98636426726529</v>
      </c>
    </row>
    <row r="27" spans="1:17" s="450" customFormat="1">
      <c r="A27" s="448" t="s">
        <v>555</v>
      </c>
      <c r="B27" s="719">
        <f t="shared" ca="1" si="2"/>
        <v>0.52433092368266276</v>
      </c>
      <c r="C27" s="449">
        <f t="shared" ca="1" si="3"/>
        <v>0</v>
      </c>
      <c r="D27" s="449">
        <f t="shared" si="4"/>
        <v>1.6512011371608342</v>
      </c>
      <c r="E27" s="449">
        <f t="shared" si="5"/>
        <v>219.11194713465051</v>
      </c>
      <c r="F27" s="449">
        <f t="shared" si="6"/>
        <v>0</v>
      </c>
      <c r="G27" s="449">
        <f t="shared" si="7"/>
        <v>41631.711739783386</v>
      </c>
      <c r="H27" s="449">
        <f t="shared" si="8"/>
        <v>7288.4547854916273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49141.454004470506</v>
      </c>
    </row>
    <row r="28" spans="1:17">
      <c r="A28" s="444" t="s">
        <v>545</v>
      </c>
      <c r="B28" s="445">
        <f t="shared" ca="1" si="2"/>
        <v>1.2695141311550227</v>
      </c>
      <c r="C28" s="445">
        <f t="shared" ca="1" si="3"/>
        <v>0</v>
      </c>
      <c r="D28" s="445">
        <f t="shared" si="4"/>
        <v>0</v>
      </c>
      <c r="E28" s="445">
        <f t="shared" si="5"/>
        <v>0</v>
      </c>
      <c r="F28" s="445">
        <f t="shared" si="6"/>
        <v>0</v>
      </c>
      <c r="G28" s="445">
        <f t="shared" si="7"/>
        <v>338.51689280055416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339.78640693170917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189.40556833413984</v>
      </c>
      <c r="C32" s="445">
        <f t="shared" ca="1" si="3"/>
        <v>0</v>
      </c>
      <c r="D32" s="445">
        <f t="shared" si="4"/>
        <v>328.09365846450908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517.49922679864892</v>
      </c>
    </row>
    <row r="33" spans="1:17" s="457" customFormat="1">
      <c r="A33" s="454" t="s">
        <v>549</v>
      </c>
      <c r="B33" s="455">
        <f ca="1">SUM(B22:B32)</f>
        <v>7013.0757467316143</v>
      </c>
      <c r="C33" s="455">
        <f t="shared" ref="C33:Q33" ca="1" si="19">SUM(C22:C32)</f>
        <v>0</v>
      </c>
      <c r="D33" s="455">
        <f t="shared" ca="1" si="19"/>
        <v>14902.269085222353</v>
      </c>
      <c r="E33" s="455">
        <f t="shared" si="19"/>
        <v>463.02189925322756</v>
      </c>
      <c r="F33" s="455">
        <f t="shared" ca="1" si="19"/>
        <v>7963.0901023694896</v>
      </c>
      <c r="G33" s="455">
        <f t="shared" si="19"/>
        <v>41970.228632583938</v>
      </c>
      <c r="H33" s="455">
        <f t="shared" si="19"/>
        <v>7288.4547854916273</v>
      </c>
      <c r="I33" s="455">
        <f t="shared" si="19"/>
        <v>0</v>
      </c>
      <c r="J33" s="455">
        <f t="shared" si="19"/>
        <v>221.55432945646186</v>
      </c>
      <c r="K33" s="455">
        <f t="shared" si="19"/>
        <v>0</v>
      </c>
      <c r="L33" s="455">
        <f t="shared" ca="1" si="19"/>
        <v>0</v>
      </c>
      <c r="M33" s="455">
        <f t="shared" si="19"/>
        <v>0</v>
      </c>
      <c r="N33" s="455">
        <f t="shared" ca="1" si="19"/>
        <v>0</v>
      </c>
      <c r="O33" s="455">
        <f t="shared" si="19"/>
        <v>0</v>
      </c>
      <c r="P33" s="455">
        <f t="shared" si="19"/>
        <v>0</v>
      </c>
      <c r="Q33" s="455">
        <f t="shared" ca="1" si="19"/>
        <v>79821.694581108721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551.60535795365831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551.60535795365831</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0.21722410220022767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0.21722410220022767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2022-07-26T12:48:51Z</dcterms:modified>
</cp:coreProperties>
</file>