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1B3CFF2-CBAD-4B2D-8083-25A487FC6A1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<sst xmlns="http://schemas.openxmlformats.org/spreadsheetml/2006/main" count="2518" uniqueCount="965">
  <si>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</si>
  <si>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</si>
  <si>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</si>
  <si>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</si>
  <si>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</si>
  <si>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</si>
  <si>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</si>
  <si>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</si>
  <si>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</si>
  <si>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</si>
  <si>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</si>
  <si>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</si>
  <si>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</si>
  <si>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</si>
  <si>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</si>
  <si>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</si>
  <si>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</si>
  <si>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</si>
  <si>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</si>
  <si>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</si>
  <si>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</si>
  <si>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</si>
  <si>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</si>
  <si>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</si>
  <si>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</si>
  <si>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</si>
  <si>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</si>
  <si>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</si>
  <si>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</si>
  <si>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</si>
  <si>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</si>
  <si>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</si>
  <si>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</si>
  <si>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</si>
  <si>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</si>
  <si>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</si>
  <si>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</si>
  <si>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</si>
  <si>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</si>
  <si>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</si>
  <si>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</si>
  <si>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</si>
  <si>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</si>
  <si>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</si>
  <si>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</si>
  <si>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</si>
  <si>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</si>
  <si>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</si>
  <si>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</si>
  <si>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</si>
  <si>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</si>
  <si>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</si>
  <si>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</si>
  <si>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</si>
  <si>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</si>
  <si>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</si>
  <si>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</si>
  <si>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</si>
  <si>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</si>
  <si>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</si>
  <si>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</si>
  <si>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</si>
  <si>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</si>
  <si>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</si>
  <si>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</si>
  <si>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</si>
  <si>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</si>
  <si>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</si>
  <si>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</si>
  <si>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</si>
  <si>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</si>
  <si>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</si>
  <si>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</si>
  <si>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</si>
  <si>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</si>
  <si>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</si>
  <si>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</si>
  <si>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</si>
  <si>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</si>
  <si>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</si>
  <si>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</si>
  <si>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</si>
  <si>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</si>
  <si>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</si>
  <si>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</si>
  <si>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</si>
  <si>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</si>
  <si>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</si>
  <si>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</si>
  <si>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</si>
  <si>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</si>
  <si>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</si>
  <si>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</si>
  <si>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</si>
  <si>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</si>
  <si>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</si>
  <si>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</si>
  <si>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</si>
  <si>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</si>
  <si>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</si>
  <si>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</si>
  <si>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</si>
  <si>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</si>
  <si>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</si>
  <si>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</si>
  <si>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</si>
  <si>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</si>
  <si>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</si>
  <si>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</si>
  <si>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</si>
  <si>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</si>
  <si>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</si>
  <si>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</si>
  <si>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</si>
  <si>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</si>
  <si>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</si>
  <si>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</si>
  <si>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</si>
  <si>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</si>
  <si>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</si>
  <si>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</si>
  <si>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</si>
  <si>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</si>
  <si>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</si>
  <si>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</si>
  <si>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</si>
  <si>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</si>
  <si>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</si>
  <si>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</si>
  <si>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</si>
  <si>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</si>
  <si>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</si>
  <si>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</si>
  <si>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</si>
  <si>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</si>
  <si>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</si>
  <si>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</si>
  <si>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</si>
  <si>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</si>
  <si>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</si>
  <si>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</si>
  <si>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</si>
  <si>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</si>
  <si>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</si>
  <si>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</si>
  <si>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</si>
  <si>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</si>
  <si>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</si>
  <si>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</si>
  <si>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</si>
  <si>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</si>
  <si>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</si>
  <si>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</si>
  <si>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</si>
  <si>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</si>
  <si>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</si>
  <si>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</si>
  <si>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</si>
  <si>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</si>
  <si>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</si>
  <si>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</si>
  <si>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</si>
  <si>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</si>
  <si>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</si>
  <si>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</si>
  <si>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</si>
  <si>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</si>
  <si>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</si>
  <si>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</si>
  <si>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</si>
  <si>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</si>
  <si>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</si>
  <si>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</si>
  <si>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</si>
  <si>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</si>
  <si>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</si>
  <si>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</si>
  <si>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</si>
  <si>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</si>
  <si>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</si>
  <si>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</si>
  <si>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</si>
  <si>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</si>
  <si>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</si>
  <si>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</si>
  <si>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</si>
  <si>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</si>
  <si>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</si>
  <si>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</si>
  <si>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</si>
  <si>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</si>
  <si>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</si>
  <si>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</si>
  <si>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</si>
  <si>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</si>
  <si>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</si>
  <si>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</si>
  <si>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</si>
  <si>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</si>
  <si>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</si>
  <si>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</si>
  <si>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</si>
  <si>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</si>
  <si>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</si>
  <si>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</si>
  <si>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</si>
  <si>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</si>
  <si>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</si>
  <si>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</si>
  <si>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</si>
  <si>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</si>
  <si>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</si>
  <si>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</si>
  <si>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</si>
  <si>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</si>
  <si>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</si>
  <si>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</si>
  <si>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</si>
  <si>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</si>
  <si>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</si>
  <si>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</si>
  <si>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</si>
  <si>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</si>
  <si>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</si>
  <si>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</si>
  <si>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</si>
  <si>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</si>
  <si>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</si>
  <si>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</si>
  <si>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</si>
  <si>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</si>
  <si>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</si>
  <si>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</si>
  <si>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</si>
  <si>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</si>
  <si>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</si>
  <si>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</si>
  <si>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</si>
  <si>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</si>
  <si>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</si>
  <si>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</si>
  <si>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</si>
  <si>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</si>
  <si>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</si>
  <si>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</si>
  <si>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</si>
  <si>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</si>
  <si>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</si>
  <si>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</si>
  <si>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</si>
  <si>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</si>
  <si>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</si>
  <si>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</si>
  <si>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</si>
  <si>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</si>
  <si>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</si>
  <si>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</si>
  <si>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</si>
  <si>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</si>
  <si>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</si>
  <si>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</si>
  <si>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</si>
  <si>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</si>
  <si>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</si>
  <si>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</si>
  <si>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</si>
  <si>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</si>
  <si>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</si>
  <si>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</si>
  <si>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</si>
  <si>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</si>
  <si>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</si>
  <si>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</si>
  <si>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</si>
  <si>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</si>
  <si>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</si>
  <si>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</si>
  <si>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</si>
  <si>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</si>
  <si>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</si>
  <si>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</si>
  <si>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</si>
  <si>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</si>
  <si>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</si>
  <si>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</si>
  <si>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</si>
  <si>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</si>
  <si>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</si>
  <si>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</si>
  <si>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</si>
  <si>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</si>
  <si>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</si>
  <si>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</si>
  <si>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</si>
  <si>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</si>
  <si>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</si>
  <si>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</si>
  <si>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</si>
  <si>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</si>
  <si>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</si>
  <si>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</si>
  <si>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</si>
  <si>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</si>
  <si>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</si>
  <si>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</si>
  <si>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</si>
  <si>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</si>
  <si>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</si>
  <si>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</si>
  <si>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</si>
  <si>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</si>
  <si>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</si>
  <si>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</si>
  <si>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</si>
  <si>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</si>
  <si>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</si>
  <si>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</si>
  <si>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</si>
  <si>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</si>
  <si>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</si>
  <si>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</si>
  <si>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</si>
  <si>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</si>
  <si>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</si>
  <si>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</si>
  <si>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</si>
  <si>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</si>
  <si>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</si>
  <si>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</si>
  <si>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</si>
  <si>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</si>
  <si>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</si>
  <si>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</si>
  <si>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</si>
  <si>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</si>
  <si>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</si>
  <si>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</si>
  <si>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</si>
  <si>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</si>
  <si>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</si>
  <si>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</si>
  <si>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</si>
  <si>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</si>
  <si>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</si>
  <si>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</si>
  <si>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</si>
  <si>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</si>
  <si>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</si>
  <si>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</si>
  <si>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</si>
  <si>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</si>
  <si>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</si>
  <si>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</si>
  <si>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</si>
  <si>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</si>
  <si>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</si>
  <si>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</si>
  <si>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</si>
  <si>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</si>
  <si>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</si>
  <si>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</si>
  <si>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</si>
  <si>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</si>
  <si>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</si>
  <si>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</si>
  <si>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</si>
  <si>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</si>
  <si>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</si>
  <si>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</si>
  <si>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</si>
  <si>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</si>
  <si>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</si>
  <si>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</si>
  <si>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</si>
  <si>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</si>
  <si>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</si>
  <si>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</si>
  <si>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</si>
  <si>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</si>
  <si>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</si>
  <si>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</si>
  <si>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</si>
  <si>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</si>
  <si>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</si>
  <si>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</si>
  <si>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</si>
  <si>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</si>
  <si>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</si>
  <si>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</si>
  <si>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</si>
  <si>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</si>
  <si>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</si>
  <si>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</si>
  <si>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</si>
  <si>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</si>
  <si>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</si>
  <si>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</si>
  <si>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</si>
  <si>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</si>
  <si>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</si>
  <si>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</si>
  <si>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</si>
  <si>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</si>
  <si>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</si>
  <si>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</si>
  <si>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</si>
  <si>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</si>
  <si>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</si>
  <si>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</si>
  <si>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</si>
  <si>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</si>
  <si>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</si>
  <si>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</si>
  <si>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</si>
  <si>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</si>
  <si>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</si>
  <si>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</si>
  <si>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</si>
  <si>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</si>
  <si>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</si>
  <si>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</si>
  <si>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</si>
  <si>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</si>
  <si>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</si>
  <si>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</si>
  <si>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</si>
  <si>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</si>
  <si>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</si>
  <si>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</si>
  <si>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</si>
  <si>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</si>
  <si>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</si>
  <si>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</si>
  <si>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</si>
  <si>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</si>
  <si>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</si>
  <si>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</si>
  <si>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</si>
  <si>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</si>
  <si>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</si>
  <si>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</si>
  <si>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</si>
  <si>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</si>
  <si>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</si>
  <si>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</si>
  <si>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</si>
  <si>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</si>
  <si>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</si>
  <si>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</si>
  <si>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</si>
  <si>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</si>
  <si>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</si>
  <si>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</si>
  <si>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</si>
  <si>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</si>
  <si>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</si>
  <si>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</si>
  <si>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</si>
  <si>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</si>
  <si>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</si>
  <si>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</si>
  <si>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</si>
  <si>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</si>
  <si>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</si>
  <si>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</si>
  <si>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</si>
  <si>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</si>
  <si>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</si>
  <si>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</si>
  <si>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</si>
  <si>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</si>
  <si>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</si>
  <si>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</si>
  <si>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</si>
  <si>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</si>
  <si>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</si>
  <si>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</si>
  <si>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</si>
  <si>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</si>
  <si>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</si>
  <si>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</si>
  <si>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</si>
  <si>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</si>
  <si>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</si>
  <si>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</si>
  <si>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</si>
  <si>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</si>
  <si>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</si>
  <si>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</si>
  <si>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</si>
  <si>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</si>
  <si>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</si>
  <si>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</si>
  <si>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</si>
  <si>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</si>
  <si>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</si>
  <si>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</si>
  <si>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</si>
  <si>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</si>
  <si>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</si>
  <si>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</si>
  <si>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</si>
  <si>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</si>
  <si>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</si>
  <si>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</si>
  <si>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</si>
  <si>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</si>
  <si>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</si>
  <si>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</si>
  <si>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</si>
  <si>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</si>
  <si>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</si>
  <si>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</si>
  <si>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</si>
  <si>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</si>
  <si>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</si>
  <si>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</si>
  <si>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</si>
  <si>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</si>
  <si>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</si>
  <si>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</si>
  <si>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</si>
  <si>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</si>
  <si>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</si>
  <si>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</si>
  <si>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</si>
  <si>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</si>
  <si>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</si>
  <si>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</si>
  <si>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</si>
  <si>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</si>
  <si>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</si>
  <si>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</si>
  <si>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</si>
  <si>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</si>
  <si>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</si>
  <si>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</si>
  <si>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</si>
  <si>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</si>
  <si>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</si>
  <si>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</si>
  <si>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</si>
  <si>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</si>
  <si>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</si>
  <si>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</si>
  <si>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</si>
  <si>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</si>
  <si>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</si>
  <si>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</si>
  <si>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</si>
  <si>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</si>
  <si>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</si>
  <si>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</si>
  <si>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</si>
  <si>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</si>
  <si>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</si>
  <si>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</si>
  <si>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</si>
  <si>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</si>
  <si>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</si>
  <si>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</si>
  <si>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</si>
  <si>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</si>
  <si>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</si>
  <si>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</si>
  <si>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</si>
  <si>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</si>
  <si>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</si>
  <si>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</si>
  <si>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</si>
  <si>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</si>
  <si>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</si>
  <si>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</si>
  <si>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</si>
  <si>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</si>
  <si>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</si>
  <si>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</si>
  <si>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</si>
  <si>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</si>
  <si>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</si>
  <si>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</si>
  <si>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</si>
  <si>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</si>
  <si>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</si>
  <si>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</si>
  <si>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</si>
  <si>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</si>
  <si>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</si>
  <si>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</si>
  <si>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</si>
  <si>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</si>
  <si>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</si>
  <si>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</si>
  <si>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</si>
  <si>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</si>
  <si>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</si>
  <si>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</si>
  <si>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</si>
  <si>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</si>
  <si>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</si>
  <si>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</si>
  <si>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</si>
  <si>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</si>
  <si>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</si>
  <si>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</si>
  <si>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</si>
  <si>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</si>
  <si>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</si>
  <si>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</si>
  <si>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</si>
  <si>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</si>
  <si>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</si>
  <si>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</si>
  <si>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</si>
  <si>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</si>
  <si>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</si>
  <si>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</si>
  <si>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</si>
  <si>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</si>
  <si>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</si>
  <si>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</si>
  <si>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</si>
  <si>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</si>
  <si>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</si>
  <si>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</si>
  <si>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</si>
  <si>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</si>
  <si>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</si>
  <si>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</si>
  <si>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</si>
  <si>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</si>
  <si>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</si>
  <si>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</si>
  <si>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</si>
  <si>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</si>
  <si>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</si>
  <si>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</si>
  <si>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</si>
  <si>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</si>
  <si>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</si>
  <si>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</si>
  <si>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</si>
  <si>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</si>
  <si>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</si>
  <si>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</si>
  <si>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</si>
  <si>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</si>
  <si>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</si>
  <si>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</si>
  <si>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</si>
  <si>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</si>
  <si>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</si>
  <si>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</si>
  <si>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</si>
  <si>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</si>
  <si>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</si>
  <si>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</si>
  <si>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</si>
  <si>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</si>
  <si>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</si>
  <si>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</si>
  <si>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</si>
  <si>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</si>
  <si>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</si>
  <si>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</si>
  <si>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</si>
  <si>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</si>
  <si>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</si>
  <si>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</si>
  <si>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</si>
  <si>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</si>
  <si>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</si>
  <si>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</si>
  <si>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</si>
  <si>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</si>
  <si>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</si>
  <si>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</si>
  <si>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</si>
  <si>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</si>
  <si>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</si>
  <si>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</si>
  <si>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</si>
  <si>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</si>
  <si>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</si>
  <si>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</si>
  <si>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</si>
  <si>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</si>
  <si>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</si>
  <si>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</si>
  <si>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</si>
  <si>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</si>
  <si>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</si>
  <si>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</si>
  <si>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</si>
  <si>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</si>
  <si>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</si>
  <si>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</si>
  <si>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</si>
  <si>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</si>
  <si>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</si>
  <si>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</si>
  <si>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</si>
  <si>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</si>
  <si>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</si>
  <si>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</si>
  <si>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</si>
  <si>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</si>
  <si>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</si>
  <si>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</si>
  <si>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</si>
  <si>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</si>
  <si>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</si>
  <si>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</si>
  <si>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</si>
  <si>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</si>
  <si>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</si>
  <si>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</si>
  <si>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</si>
  <si>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</si>
  <si>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</si>
  <si>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</si>
  <si>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</si>
  <si>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</si>
  <si>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</si>
  <si>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</si>
  <si>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</si>
  <si>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</si>
  <si>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</si>
  <si>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</si>
  <si>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</si>
  <si>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</si>
  <si>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</si>
  <si>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</si>
  <si>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</si>
  <si>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</si>
  <si>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</si>
  <si>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</si>
  <si>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</si>
  <si>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</si>
  <si>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</si>
  <si>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</si>
  <si>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</si>
  <si>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</si>
  <si>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</si>
  <si>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</si>
  <si>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</si>
  <si>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</si>
  <si>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</si>
  <si>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</si>
  <si>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</si>
  <si>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</si>
  <si>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</si>
  <si>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</si>
  <si>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</si>
  <si>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</si>
  <si>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</si>
  <si>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</si>
  <si>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</si>
  <si>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</si>
  <si>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</si>
  <si>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</si>
  <si>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</si>
  <si>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</si>
  <si>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</si>
  <si>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</si>
  <si>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</si>
  <si>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</si>
  <si>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</si>
  <si>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</si>
  <si>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</si>
  <si>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</si>
  <si>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</si>
  <si>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</si>
  <si>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</si>
  <si>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</si>
  <si>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</si>
  <si>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</si>
  <si>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</si>
  <si>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</si>
  <si>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</si>
  <si>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</si>
  <si>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</si>
  <si>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</si>
  <si>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</si>
  <si>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</si>
  <si>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</si>
  <si>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</si>
  <si>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</si>
  <si>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</si>
  <si>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</si>
  <si>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</si>
  <si>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</si>
  <si>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</si>
  <si>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</si>
  <si>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</si>
  <si>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</si>
  <si>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</si>
  <si>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</si>
  <si>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</si>
  <si>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</si>
  <si>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</si>
  <si>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</si>
  <si>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</si>
  <si>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</si>
  <si>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</si>
  <si>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</si>
  <si>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</si>
  <si>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</si>
  <si>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</si>
  <si>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</si>
  <si>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</si>
  <si>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</si>
  <si>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</si>
  <si>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</si>
  <si>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</si>
  <si>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</si>
  <si>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</si>
  <si>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</si>
  <si>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</si>
  <si>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</si>
  <si>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</si>
  <si>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</si>
  <si>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</si>
  <si>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</si>
  <si>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</si>
  <si>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</si>
  <si>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</si>
  <si>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</si>
  <si>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</si>
  <si>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</si>
  <si>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</si>
  <si>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</si>
  <si>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</si>
  <si>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</si>
  <si>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</si>
  <si>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</si>
  <si>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</si>
  <si>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</si>
  <si>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</si>
  <si>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</si>
  <si>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</si>
  <si>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</si>
  <si>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</si>
  <si>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</si>
  <si>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</si>
  <si>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</si>
  <si>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</si>
  <si>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</si>
  <si>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</si>
  <si>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</si>
  <si>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</si>
  <si>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</si>
  <si>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</si>
  <si>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</si>
  <si>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</si>
  <si>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</si>
  <si>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</si>
  <si>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</si>
  <si>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</si>
  <si>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</si>
  <si>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</si>
  <si>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</si>
  <si>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</si>
  <si>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</si>
  <si>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</si>
  <si>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</si>
  <si>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</si>
  <si>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</si>
  <si>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</si>
  <si>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</si>
  <si>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</si>
  <si>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</si>
  <si>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</si>
  <si>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</si>
  <si>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</si>
  <si>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</si>
  <si>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</si>
  <si>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</si>
  <si>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</si>
  <si>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</si>
  <si>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</si>
  <si>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</si>
  <si>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</si>
  <si>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</si>
  <si>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</si>
  <si>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</si>
  <si>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</si>
  <si>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</si>
  <si>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</si>
  <si>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</si>
  <si>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</si>
  <si>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</si>
  <si>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</si>
  <si>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</si>
  <si>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</si>
  <si>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</si>
  <si>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</si>
  <si>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</si>
  <si>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</si>
  <si>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</si>
  <si>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</si>
  <si>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</si>
  <si>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</si>
  <si>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</si>
  <si>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</si>
  <si>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</si>
  <si>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</si>
  <si>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</si>
  <si>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</si>
  <si>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</si>
  <si>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</si>
  <si>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</si>
  <si>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</si>
  <si>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</si>
  <si>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</si>
  <si>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</si>
  <si>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</si>
  <si>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</si>
  <si>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</si>
  <si>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</si>
  <si>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</si>
  <si>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</si>
  <si>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</si>
  <si>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</si>
  <si>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</si>
  <si>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</si>
  <si>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</si>
  <si>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</si>
  <si>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</si>
  <si>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</si>
  <si>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</si>
  <si>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</si>
  <si>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</si>
  <si>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</si>
  <si>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</si>
  <si>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</si>
  <si>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</si>
  <si>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</si>
  <si>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</si>
  <si>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</si>
  <si>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</si>
  <si>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</si>
  <si>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</si>
  <si>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</si>
  <si>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</si>
  <si>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</si>
  <si>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</si>
  <si>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</si>
  <si>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</si>
  <si>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</si>
  <si>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</si>
  <si>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</si>
  <si>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</si>
  <si>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</si>
  <si>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</si>
  <si>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</si>
  <si>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</si>
  <si>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23027</t>
  </si>
  <si>
    <t>HALLE</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</si>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</sst>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6541323C-A74D-4D24-8506-210442B675C9}"/>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23027</v>
      </c>
      <c r="B6" s="382"/>
      <c r="C6" s="383"/>
    </row>
    <row r="7" spans="1:7" s="380" customFormat="1" ht="15.75" customHeight="1">
      <c r="A7" s="384" t="str">
        <f>txtMunicipality</f>
        <v>HALLE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0.21105196270567897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0.21105196270567897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15265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1636</v>
      </c>
      <c r="C14" s="324"/>
      <c r="D14" s="324"/>
      <c r="E14" s="324"/>
      <c r="F14" s="324"/>
    </row>
    <row r="15" spans="1:6">
      <c r="A15" s="1235" t="s">
        <v>177</v>
      </c>
      <c r="B15" s="1236">
        <v>7</v>
      </c>
      <c r="C15" s="324"/>
      <c r="D15" s="324"/>
      <c r="E15" s="324"/>
      <c r="F15" s="324"/>
    </row>
    <row r="16" spans="1:6">
      <c r="A16" s="1235" t="s">
        <v>6</v>
      </c>
      <c r="B16" s="1236">
        <v>281</v>
      </c>
      <c r="C16" s="324"/>
      <c r="D16" s="324"/>
      <c r="E16" s="324"/>
      <c r="F16" s="324"/>
    </row>
    <row r="17" spans="1:6">
      <c r="A17" s="1235" t="s">
        <v>7</v>
      </c>
      <c r="B17" s="1236">
        <v>238</v>
      </c>
      <c r="C17" s="324"/>
      <c r="D17" s="324"/>
      <c r="E17" s="324"/>
      <c r="F17" s="324"/>
    </row>
    <row r="18" spans="1:6">
      <c r="A18" s="1235" t="s">
        <v>8</v>
      </c>
      <c r="B18" s="1236">
        <v>351</v>
      </c>
      <c r="C18" s="324"/>
      <c r="D18" s="324"/>
      <c r="E18" s="324"/>
      <c r="F18" s="324"/>
    </row>
    <row r="19" spans="1:6">
      <c r="A19" s="1235" t="s">
        <v>9</v>
      </c>
      <c r="B19" s="1236">
        <v>248</v>
      </c>
      <c r="C19" s="324"/>
      <c r="D19" s="324"/>
      <c r="E19" s="324"/>
      <c r="F19" s="324"/>
    </row>
    <row r="20" spans="1:6">
      <c r="A20" s="1235" t="s">
        <v>10</v>
      </c>
      <c r="B20" s="1236">
        <v>349</v>
      </c>
      <c r="C20" s="324"/>
      <c r="D20" s="324"/>
      <c r="E20" s="324"/>
      <c r="F20" s="324"/>
    </row>
    <row r="21" spans="1:6">
      <c r="A21" s="1235" t="s">
        <v>11</v>
      </c>
      <c r="B21" s="1236">
        <v>775</v>
      </c>
      <c r="C21" s="324"/>
      <c r="D21" s="324"/>
      <c r="E21" s="324"/>
      <c r="F21" s="324"/>
    </row>
    <row r="22" spans="1:6">
      <c r="A22" s="1235" t="s">
        <v>12</v>
      </c>
      <c r="B22" s="1236">
        <v>2043</v>
      </c>
      <c r="C22" s="324"/>
      <c r="D22" s="324"/>
      <c r="E22" s="324"/>
      <c r="F22" s="324"/>
    </row>
    <row r="23" spans="1:6">
      <c r="A23" s="1235" t="s">
        <v>13</v>
      </c>
      <c r="B23" s="1236">
        <v>34</v>
      </c>
      <c r="C23" s="324"/>
      <c r="D23" s="324"/>
      <c r="E23" s="324"/>
      <c r="F23" s="324"/>
    </row>
    <row r="24" spans="1:6">
      <c r="A24" s="1235" t="s">
        <v>14</v>
      </c>
      <c r="B24" s="1236">
        <v>3</v>
      </c>
      <c r="C24" s="324"/>
      <c r="D24" s="324"/>
      <c r="E24" s="324"/>
      <c r="F24" s="324"/>
    </row>
    <row r="25" spans="1:6">
      <c r="A25" s="1235" t="s">
        <v>15</v>
      </c>
      <c r="B25" s="1236">
        <v>202</v>
      </c>
      <c r="C25" s="324"/>
      <c r="D25" s="324"/>
      <c r="E25" s="324"/>
      <c r="F25" s="324"/>
    </row>
    <row r="26" spans="1:6">
      <c r="A26" s="1235" t="s">
        <v>16</v>
      </c>
      <c r="B26" s="1236">
        <v>224</v>
      </c>
      <c r="C26" s="324"/>
      <c r="D26" s="324"/>
      <c r="E26" s="324"/>
      <c r="F26" s="324"/>
    </row>
    <row r="27" spans="1:6">
      <c r="A27" s="1235" t="s">
        <v>17</v>
      </c>
      <c r="B27" s="1236">
        <v>0</v>
      </c>
      <c r="C27" s="324"/>
      <c r="D27" s="324"/>
      <c r="E27" s="324"/>
      <c r="F27" s="324"/>
    </row>
    <row r="28" spans="1:6">
      <c r="A28" s="1235" t="s">
        <v>18</v>
      </c>
      <c r="B28" s="1237">
        <v>607</v>
      </c>
      <c r="C28" s="324"/>
      <c r="D28" s="324"/>
      <c r="E28" s="324"/>
      <c r="F28" s="324"/>
    </row>
    <row r="29" spans="1:6">
      <c r="A29" s="1235" t="s">
        <v>959</v>
      </c>
      <c r="B29" s="1237">
        <v>123</v>
      </c>
      <c r="C29" s="324"/>
      <c r="D29" s="324"/>
      <c r="E29" s="324"/>
      <c r="F29" s="324"/>
    </row>
    <row r="30" spans="1:6">
      <c r="A30" s="1230" t="s">
        <v>960</v>
      </c>
      <c r="B30" s="1238">
        <v>30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6</v>
      </c>
      <c r="D36" s="1236">
        <v>3071764.6664591399</v>
      </c>
      <c r="E36" s="1236">
        <v>8</v>
      </c>
      <c r="F36" s="1236">
        <v>16632</v>
      </c>
    </row>
    <row r="37" spans="1:6">
      <c r="A37" s="1235" t="s">
        <v>24</v>
      </c>
      <c r="B37" s="1235" t="s">
        <v>27</v>
      </c>
      <c r="C37" s="1236">
        <v>0</v>
      </c>
      <c r="D37" s="1236">
        <v>0</v>
      </c>
      <c r="E37" s="1236">
        <v>0</v>
      </c>
      <c r="F37" s="1236">
        <v>0</v>
      </c>
    </row>
    <row r="38" spans="1:6">
      <c r="A38" s="1235" t="s">
        <v>24</v>
      </c>
      <c r="B38" s="1235" t="s">
        <v>28</v>
      </c>
      <c r="C38" s="1236">
        <v>1</v>
      </c>
      <c r="D38" s="1236">
        <v>2196.0248181888001</v>
      </c>
      <c r="E38" s="1236">
        <v>4</v>
      </c>
      <c r="F38" s="1236">
        <v>12985.2051538085</v>
      </c>
    </row>
    <row r="39" spans="1:6">
      <c r="A39" s="1235" t="s">
        <v>29</v>
      </c>
      <c r="B39" s="1235" t="s">
        <v>30</v>
      </c>
      <c r="C39" s="1236">
        <v>11018</v>
      </c>
      <c r="D39" s="1236">
        <v>178064172.76746899</v>
      </c>
      <c r="E39" s="1236">
        <v>15411</v>
      </c>
      <c r="F39" s="1236">
        <v>60933110.533674903</v>
      </c>
    </row>
    <row r="40" spans="1:6">
      <c r="A40" s="1235" t="s">
        <v>29</v>
      </c>
      <c r="B40" s="1235" t="s">
        <v>28</v>
      </c>
      <c r="C40" s="1236">
        <v>1</v>
      </c>
      <c r="D40" s="1236">
        <v>5215.0994684777997</v>
      </c>
      <c r="E40" s="1236">
        <v>1</v>
      </c>
      <c r="F40" s="1236">
        <v>5275</v>
      </c>
    </row>
    <row r="41" spans="1:6">
      <c r="A41" s="1235" t="s">
        <v>31</v>
      </c>
      <c r="B41" s="1235" t="s">
        <v>32</v>
      </c>
      <c r="C41" s="1236">
        <v>53</v>
      </c>
      <c r="D41" s="1236">
        <v>1203647.57205944</v>
      </c>
      <c r="E41" s="1236">
        <v>143</v>
      </c>
      <c r="F41" s="1236">
        <v>22376765.026149798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6</v>
      </c>
      <c r="D44" s="1236">
        <v>522888.50692923903</v>
      </c>
      <c r="E44" s="1236">
        <v>4</v>
      </c>
      <c r="F44" s="1236">
        <v>401524.49395121599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4</v>
      </c>
      <c r="F47" s="1236">
        <v>17844.862941292999</v>
      </c>
    </row>
    <row r="48" spans="1:6">
      <c r="A48" s="1235" t="s">
        <v>31</v>
      </c>
      <c r="B48" s="1235" t="s">
        <v>28</v>
      </c>
      <c r="C48" s="1236">
        <v>60</v>
      </c>
      <c r="D48" s="1236">
        <v>34945941.231971003</v>
      </c>
      <c r="E48" s="1236">
        <v>82</v>
      </c>
      <c r="F48" s="1236">
        <v>37739994.920125403</v>
      </c>
    </row>
    <row r="49" spans="1:6">
      <c r="A49" s="1235" t="s">
        <v>31</v>
      </c>
      <c r="B49" s="1235" t="s">
        <v>39</v>
      </c>
      <c r="C49" s="1236">
        <v>0</v>
      </c>
      <c r="D49" s="1236">
        <v>0</v>
      </c>
      <c r="E49" s="1236">
        <v>3</v>
      </c>
      <c r="F49" s="1236">
        <v>15380.076032294101</v>
      </c>
    </row>
    <row r="50" spans="1:6">
      <c r="A50" s="1235" t="s">
        <v>31</v>
      </c>
      <c r="B50" s="1235" t="s">
        <v>40</v>
      </c>
      <c r="C50" s="1236">
        <v>13</v>
      </c>
      <c r="D50" s="1236">
        <v>685306.11435937998</v>
      </c>
      <c r="E50" s="1236">
        <v>17</v>
      </c>
      <c r="F50" s="1236">
        <v>498225.53592522698</v>
      </c>
    </row>
    <row r="51" spans="1:6">
      <c r="A51" s="1235" t="s">
        <v>41</v>
      </c>
      <c r="B51" s="1235" t="s">
        <v>42</v>
      </c>
      <c r="C51" s="1236">
        <v>6</v>
      </c>
      <c r="D51" s="1236">
        <v>76622.147740295695</v>
      </c>
      <c r="E51" s="1236">
        <v>36</v>
      </c>
      <c r="F51" s="1236">
        <v>387537.99048536498</v>
      </c>
    </row>
    <row r="52" spans="1:6">
      <c r="A52" s="1235" t="s">
        <v>41</v>
      </c>
      <c r="B52" s="1235" t="s">
        <v>28</v>
      </c>
      <c r="C52" s="1236">
        <v>4</v>
      </c>
      <c r="D52" s="1236">
        <v>1798569.2054373601</v>
      </c>
      <c r="E52" s="1236">
        <v>7</v>
      </c>
      <c r="F52" s="1236">
        <v>222272.764541791</v>
      </c>
    </row>
    <row r="53" spans="1:6">
      <c r="A53" s="1235" t="s">
        <v>43</v>
      </c>
      <c r="B53" s="1235" t="s">
        <v>44</v>
      </c>
      <c r="C53" s="1236">
        <v>620</v>
      </c>
      <c r="D53" s="1236">
        <v>11728912.7514777</v>
      </c>
      <c r="E53" s="1236">
        <v>888</v>
      </c>
      <c r="F53" s="1236">
        <v>4615716.0519414302</v>
      </c>
    </row>
    <row r="54" spans="1:6">
      <c r="A54" s="1235" t="s">
        <v>45</v>
      </c>
      <c r="B54" s="1235" t="s">
        <v>46</v>
      </c>
      <c r="C54" s="1236">
        <v>0</v>
      </c>
      <c r="D54" s="1236">
        <v>0</v>
      </c>
      <c r="E54" s="1236">
        <v>1</v>
      </c>
      <c r="F54" s="1236">
        <v>2933764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55</v>
      </c>
      <c r="D57" s="1236">
        <v>2939021.5100992802</v>
      </c>
      <c r="E57" s="1236">
        <v>115</v>
      </c>
      <c r="F57" s="1236">
        <v>2258078.4741774099</v>
      </c>
    </row>
    <row r="58" spans="1:6">
      <c r="A58" s="1235" t="s">
        <v>48</v>
      </c>
      <c r="B58" s="1235" t="s">
        <v>50</v>
      </c>
      <c r="C58" s="1236">
        <v>45</v>
      </c>
      <c r="D58" s="1236">
        <v>4630510.7041414399</v>
      </c>
      <c r="E58" s="1236">
        <v>83</v>
      </c>
      <c r="F58" s="1236">
        <v>3025091.3455466102</v>
      </c>
    </row>
    <row r="59" spans="1:6">
      <c r="A59" s="1235" t="s">
        <v>48</v>
      </c>
      <c r="B59" s="1235" t="s">
        <v>51</v>
      </c>
      <c r="C59" s="1236">
        <v>217</v>
      </c>
      <c r="D59" s="1236">
        <v>44497381.837384798</v>
      </c>
      <c r="E59" s="1236">
        <v>388</v>
      </c>
      <c r="F59" s="1236">
        <v>11800407.2598428</v>
      </c>
    </row>
    <row r="60" spans="1:6">
      <c r="A60" s="1235" t="s">
        <v>48</v>
      </c>
      <c r="B60" s="1235" t="s">
        <v>52</v>
      </c>
      <c r="C60" s="1236">
        <v>146</v>
      </c>
      <c r="D60" s="1236">
        <v>9367215.5624122098</v>
      </c>
      <c r="E60" s="1236">
        <v>256</v>
      </c>
      <c r="F60" s="1236">
        <v>5425159.7489932701</v>
      </c>
    </row>
    <row r="61" spans="1:6">
      <c r="A61" s="1235" t="s">
        <v>48</v>
      </c>
      <c r="B61" s="1235" t="s">
        <v>53</v>
      </c>
      <c r="C61" s="1236">
        <v>230</v>
      </c>
      <c r="D61" s="1236">
        <v>8144968.7882899595</v>
      </c>
      <c r="E61" s="1236">
        <v>503</v>
      </c>
      <c r="F61" s="1236">
        <v>6319559.46673044</v>
      </c>
    </row>
    <row r="62" spans="1:6">
      <c r="A62" s="1235" t="s">
        <v>48</v>
      </c>
      <c r="B62" s="1235" t="s">
        <v>54</v>
      </c>
      <c r="C62" s="1236">
        <v>28</v>
      </c>
      <c r="D62" s="1236">
        <v>7509780.5555809103</v>
      </c>
      <c r="E62" s="1236">
        <v>23</v>
      </c>
      <c r="F62" s="1236">
        <v>2020018.2038219699</v>
      </c>
    </row>
    <row r="63" spans="1:6">
      <c r="A63" s="1235" t="s">
        <v>48</v>
      </c>
      <c r="B63" s="1235" t="s">
        <v>28</v>
      </c>
      <c r="C63" s="1236">
        <v>175</v>
      </c>
      <c r="D63" s="1236">
        <v>16063163.184970099</v>
      </c>
      <c r="E63" s="1236">
        <v>206</v>
      </c>
      <c r="F63" s="1236">
        <v>71964058.708614305</v>
      </c>
    </row>
    <row r="64" spans="1:6">
      <c r="A64" s="1235" t="s">
        <v>55</v>
      </c>
      <c r="B64" s="1235" t="s">
        <v>56</v>
      </c>
      <c r="C64" s="1236">
        <v>0</v>
      </c>
      <c r="D64" s="1236">
        <v>0</v>
      </c>
      <c r="E64" s="1236">
        <v>0</v>
      </c>
      <c r="F64" s="1236">
        <v>0</v>
      </c>
    </row>
    <row r="65" spans="1:6">
      <c r="A65" s="1235" t="s">
        <v>55</v>
      </c>
      <c r="B65" s="1235" t="s">
        <v>28</v>
      </c>
      <c r="C65" s="1236">
        <v>5</v>
      </c>
      <c r="D65" s="1236">
        <v>140669.25327153699</v>
      </c>
      <c r="E65" s="1236">
        <v>8</v>
      </c>
      <c r="F65" s="1236">
        <v>75630.228471779206</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122742.20621449201</v>
      </c>
      <c r="E68" s="1238">
        <v>13</v>
      </c>
      <c r="F68" s="1238">
        <v>328355.40132397501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241783404</v>
      </c>
      <c r="E73" s="443"/>
      <c r="F73" s="324"/>
    </row>
    <row r="74" spans="1:6">
      <c r="A74" s="1235" t="s">
        <v>63</v>
      </c>
      <c r="B74" s="1235" t="s">
        <v>730</v>
      </c>
      <c r="C74" s="1248" t="s">
        <v>731</v>
      </c>
      <c r="D74" s="1236">
        <v>19723977.702196576</v>
      </c>
      <c r="E74" s="443"/>
      <c r="F74" s="324"/>
    </row>
    <row r="75" spans="1:6">
      <c r="A75" s="1235" t="s">
        <v>64</v>
      </c>
      <c r="B75" s="1235" t="s">
        <v>728</v>
      </c>
      <c r="C75" s="1248" t="s">
        <v>732</v>
      </c>
      <c r="D75" s="1236">
        <v>154492263</v>
      </c>
      <c r="E75" s="443"/>
      <c r="F75" s="324"/>
    </row>
    <row r="76" spans="1:6">
      <c r="A76" s="1235" t="s">
        <v>64</v>
      </c>
      <c r="B76" s="1235" t="s">
        <v>730</v>
      </c>
      <c r="C76" s="1248" t="s">
        <v>733</v>
      </c>
      <c r="D76" s="1236">
        <v>7626723.7021965748</v>
      </c>
      <c r="E76" s="443"/>
      <c r="F76" s="324"/>
    </row>
    <row r="77" spans="1:6">
      <c r="A77" s="1235" t="s">
        <v>65</v>
      </c>
      <c r="B77" s="1235" t="s">
        <v>728</v>
      </c>
      <c r="C77" s="1248" t="s">
        <v>734</v>
      </c>
      <c r="D77" s="1236">
        <v>226375875</v>
      </c>
      <c r="E77" s="443"/>
      <c r="F77" s="324"/>
    </row>
    <row r="78" spans="1:6">
      <c r="A78" s="1230" t="s">
        <v>65</v>
      </c>
      <c r="B78" s="1230" t="s">
        <v>730</v>
      </c>
      <c r="C78" s="1230" t="s">
        <v>735</v>
      </c>
      <c r="D78" s="1238">
        <v>20365377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1173576.5956068505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2642.9898546116724</v>
      </c>
      <c r="C90" s="324"/>
      <c r="D90" s="324"/>
      <c r="E90" s="324"/>
      <c r="F90" s="324"/>
    </row>
    <row r="91" spans="1:6">
      <c r="A91" s="1235" t="s">
        <v>67</v>
      </c>
      <c r="B91" s="1236">
        <v>1531.8815714834377</v>
      </c>
      <c r="C91" s="324"/>
      <c r="D91" s="324"/>
      <c r="E91" s="324"/>
      <c r="F91" s="324"/>
    </row>
    <row r="92" spans="1:6">
      <c r="A92" s="1230" t="s">
        <v>68</v>
      </c>
      <c r="B92" s="1231">
        <v>1292.1723734730738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8417</v>
      </c>
      <c r="C97" s="324"/>
      <c r="D97" s="324"/>
      <c r="E97" s="324"/>
      <c r="F97" s="324"/>
    </row>
    <row r="98" spans="1:6">
      <c r="A98" s="1235" t="s">
        <v>71</v>
      </c>
      <c r="B98" s="1236">
        <v>12</v>
      </c>
      <c r="C98" s="324"/>
      <c r="D98" s="324"/>
      <c r="E98" s="324"/>
      <c r="F98" s="324"/>
    </row>
    <row r="99" spans="1:6">
      <c r="A99" s="1235" t="s">
        <v>72</v>
      </c>
      <c r="B99" s="1236">
        <v>88</v>
      </c>
      <c r="C99" s="324"/>
      <c r="D99" s="324"/>
      <c r="E99" s="324"/>
      <c r="F99" s="324"/>
    </row>
    <row r="100" spans="1:6">
      <c r="A100" s="1235" t="s">
        <v>73</v>
      </c>
      <c r="B100" s="1236">
        <v>1444</v>
      </c>
      <c r="C100" s="324"/>
      <c r="D100" s="324"/>
      <c r="E100" s="324"/>
      <c r="F100" s="324"/>
    </row>
    <row r="101" spans="1:6">
      <c r="A101" s="1235" t="s">
        <v>74</v>
      </c>
      <c r="B101" s="1236">
        <v>114</v>
      </c>
      <c r="C101" s="324"/>
      <c r="D101" s="324"/>
      <c r="E101" s="324"/>
      <c r="F101" s="324"/>
    </row>
    <row r="102" spans="1:6">
      <c r="A102" s="1235" t="s">
        <v>75</v>
      </c>
      <c r="B102" s="1236">
        <v>218</v>
      </c>
      <c r="C102" s="324"/>
      <c r="D102" s="324"/>
      <c r="E102" s="324"/>
      <c r="F102" s="324"/>
    </row>
    <row r="103" spans="1:6">
      <c r="A103" s="1235" t="s">
        <v>76</v>
      </c>
      <c r="B103" s="1236">
        <v>298</v>
      </c>
      <c r="C103" s="324"/>
      <c r="D103" s="324"/>
      <c r="E103" s="324"/>
      <c r="F103" s="324"/>
    </row>
    <row r="104" spans="1:6">
      <c r="A104" s="1235" t="s">
        <v>77</v>
      </c>
      <c r="B104" s="1236">
        <v>3161</v>
      </c>
      <c r="C104" s="324"/>
      <c r="D104" s="324"/>
      <c r="E104" s="324"/>
      <c r="F104" s="324"/>
    </row>
    <row r="105" spans="1:6">
      <c r="A105" s="1230" t="s">
        <v>78</v>
      </c>
      <c r="B105" s="123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47</v>
      </c>
      <c r="C129" s="324"/>
      <c r="D129" s="324"/>
      <c r="E129" s="324"/>
      <c r="F129" s="324"/>
    </row>
    <row r="130" spans="1:6">
      <c r="A130" s="1235" t="s">
        <v>284</v>
      </c>
      <c r="B130" s="1236">
        <v>0</v>
      </c>
      <c r="C130" s="324"/>
      <c r="D130" s="324"/>
      <c r="E130" s="324"/>
      <c r="F130" s="324"/>
    </row>
    <row r="131" spans="1:6">
      <c r="A131" s="1235" t="s">
        <v>285</v>
      </c>
      <c r="B131" s="1236">
        <v>3</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234518.2381891938</v>
      </c>
      <c r="C3" s="43" t="s">
        <v>163</v>
      </c>
      <c r="D3" s="43"/>
      <c r="E3" s="155"/>
      <c r="F3" s="43"/>
      <c r="G3" s="43"/>
      <c r="H3" s="43"/>
      <c r="I3" s="43"/>
      <c r="J3" s="43"/>
      <c r="K3" s="96"/>
    </row>
    <row r="4" spans="1:11">
      <c r="A4" s="350" t="s">
        <v>164</v>
      </c>
      <c r="B4" s="49">
        <f>IF(ISERROR('SEAP template'!B78+'SEAP template'!C78),0,'SEAP template'!B78+'SEAP template'!C78)</f>
        <v>10556.543799568184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0.21105196270567897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7270.7142857142862</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2933.7640000000001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2933.7640000000001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0.21105196270567897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619.1766503152636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60938.385533674904</v>
      </c>
      <c r="C5" s="17">
        <f>IF(ISERROR('Eigen informatie GS &amp; warmtenet'!B57),0,'Eigen informatie GS &amp; warmtenet'!B57)</f>
        <v>0</v>
      </c>
      <c r="D5" s="30">
        <f>(SUM(HH_hh_gas_kWh,HH_rest_gas_kWh)/1000)*0.902</f>
        <v>160618.58785597759</v>
      </c>
      <c r="E5" s="17">
        <f>B32*B41</f>
        <v>2309.6150459410928</v>
      </c>
      <c r="F5" s="17">
        <f>B36*B45</f>
        <v>78837.313757675511</v>
      </c>
      <c r="G5" s="18"/>
      <c r="H5" s="17"/>
      <c r="I5" s="17"/>
      <c r="J5" s="17">
        <f>B35*B44+C35*C44</f>
        <v>1775.216430591742</v>
      </c>
      <c r="K5" s="17"/>
      <c r="L5" s="17"/>
      <c r="M5" s="17"/>
      <c r="N5" s="17">
        <f>B34*B43+C34*C43</f>
        <v>17861.199577219515</v>
      </c>
      <c r="O5" s="17">
        <f>B52*B53*B54</f>
        <v>82.856666666666683</v>
      </c>
      <c r="P5" s="17">
        <f>B60*B61*B62/1000-B60*B61*B62/1000/B63</f>
        <v>228.8</v>
      </c>
    </row>
    <row r="6" spans="1:16">
      <c r="A6" s="16" t="s">
        <v>591</v>
      </c>
      <c r="B6" s="727">
        <f>kWh_PV_kleiner_dan_10kW</f>
        <v>1531.8815714834377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62470.267105158338</v>
      </c>
      <c r="C8" s="21">
        <f>C5</f>
        <v>0</v>
      </c>
      <c r="D8" s="21">
        <f>D5</f>
        <v>160618.58785597759</v>
      </c>
      <c r="E8" s="21">
        <f>E5</f>
        <v>2309.6150459410928</v>
      </c>
      <c r="F8" s="21">
        <f>F5</f>
        <v>78837.313757675511</v>
      </c>
      <c r="G8" s="21"/>
      <c r="H8" s="21"/>
      <c r="I8" s="21"/>
      <c r="J8" s="21">
        <f>J5</f>
        <v>1775.216430591742</v>
      </c>
      <c r="K8" s="21"/>
      <c r="L8" s="21">
        <f>L5</f>
        <v>0</v>
      </c>
      <c r="M8" s="21">
        <f>M5</f>
        <v>0</v>
      </c>
      <c r="N8" s="21">
        <f>N5</f>
        <v>17861.199577219515</v>
      </c>
      <c r="O8" s="21">
        <f>O5</f>
        <v>82.856666666666683</v>
      </c>
      <c r="P8" s="21">
        <f>P5</f>
        <v>228.8</v>
      </c>
    </row>
    <row r="9" spans="1:16">
      <c r="B9" s="19"/>
      <c r="C9" s="19"/>
      <c r="D9" s="255"/>
      <c r="E9" s="19"/>
      <c r="F9" s="19"/>
      <c r="G9" s="19"/>
      <c r="H9" s="19"/>
      <c r="I9" s="19"/>
      <c r="J9" s="19"/>
      <c r="K9" s="19"/>
      <c r="L9" s="19"/>
      <c r="M9" s="19"/>
      <c r="N9" s="19"/>
      <c r="O9" s="19"/>
      <c r="P9" s="19"/>
    </row>
    <row r="10" spans="1:16">
      <c r="A10" s="24" t="s">
        <v>207</v>
      </c>
      <c r="B10" s="25">
        <f ca="1">'EF ele_warmte'!B12</f>
        <v>0.21105196270567897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13184.472483291682</v>
      </c>
      <c r="C12" s="23">
        <f ca="1">C10*C8</f>
        <v>0</v>
      </c>
      <c r="D12" s="23">
        <f>D8*D10</f>
        <v>32444.954746907475</v>
      </c>
      <c r="E12" s="23">
        <f>E10*E8</f>
        <v>524.28261542862811</v>
      </c>
      <c r="F12" s="23">
        <f>F10*F8</f>
        <v>21049.562773299363</v>
      </c>
      <c r="G12" s="23"/>
      <c r="H12" s="23"/>
      <c r="I12" s="23"/>
      <c r="J12" s="23">
        <f>J10*J8</f>
        <v>628.42661642947667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15265</v>
      </c>
      <c r="C26" s="36"/>
      <c r="D26" s="225"/>
    </row>
    <row r="27" spans="1:5" s="15" customFormat="1">
      <c r="A27" s="227" t="s">
        <v>671</v>
      </c>
      <c r="B27" s="37">
        <f>SUM(HH_hh_gas_aantal,HH_rest_gas_aantal)</f>
        <v>11019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10468.049999999999</v>
      </c>
      <c r="C31" s="34" t="s">
        <v>104</v>
      </c>
      <c r="D31" s="171"/>
    </row>
    <row r="32" spans="1:5">
      <c r="A32" s="168" t="s">
        <v>72</v>
      </c>
      <c r="B32" s="33">
        <f>IF((B21*($B$26-($B$27-0.05*$B$27)-$B$60))&lt;0,0,B21*($B$26-($B$27-0.05*$B$27)-$B$60))</f>
        <v>33.923231518123423</v>
      </c>
      <c r="C32" s="34" t="s">
        <v>104</v>
      </c>
      <c r="D32" s="171"/>
    </row>
    <row r="33" spans="1:6">
      <c r="A33" s="168" t="s">
        <v>73</v>
      </c>
      <c r="B33" s="33">
        <f>IF((B22*($B$26-($B$27-0.05*$B$27)-$B$60))&lt;0,0,B22*($B$26-($B$27-0.05*$B$27)-$B$60))</f>
        <v>972.23519990376872</v>
      </c>
      <c r="C33" s="34" t="s">
        <v>104</v>
      </c>
      <c r="D33" s="171"/>
    </row>
    <row r="34" spans="1:6">
      <c r="A34" s="168" t="s">
        <v>74</v>
      </c>
      <c r="B34" s="33">
        <f>IF((B24*($B$26-($B$27-0.05*$B$27)-$B$60))&lt;0,0,B24*($B$26-($B$27-0.05*$B$27)-$B$60))</f>
        <v>193.87397375264825</v>
      </c>
      <c r="C34" s="33">
        <f>B26*C24</f>
        <v>3121.3507888534382</v>
      </c>
      <c r="D34" s="230"/>
    </row>
    <row r="35" spans="1:6">
      <c r="A35" s="168" t="s">
        <v>76</v>
      </c>
      <c r="B35" s="33">
        <f>IF((B19*($B$26-($B$27-0.05*$B$27)-$B$60))&lt;0,0,B19*($B$26-($B$27-0.05*$B$27)-$B$60))</f>
        <v>100.96199856584353</v>
      </c>
      <c r="C35" s="33">
        <f>B35/2</f>
        <v>50.480999282921765</v>
      </c>
      <c r="D35" s="230"/>
    </row>
    <row r="36" spans="1:6">
      <c r="A36" s="168" t="s">
        <v>77</v>
      </c>
      <c r="B36" s="33">
        <f>IF((B18*($B$26-($B$27-0.05*$B$27)-$B$60))&lt;0,0,B18*($B$26-($B$27-0.05*$B$27)-$B$60))</f>
        <v>3483.9555962596169</v>
      </c>
      <c r="C36" s="34" t="s">
        <v>104</v>
      </c>
      <c r="D36" s="171"/>
    </row>
    <row r="37" spans="1:6">
      <c r="A37" s="168" t="s">
        <v>78</v>
      </c>
      <c r="B37" s="33">
        <f>B60</f>
        <v>12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102812.37320772681</v>
      </c>
      <c r="C5" s="17">
        <f>IF(ISERROR('Eigen informatie GS &amp; warmtenet'!B58),0,'Eigen informatie GS &amp; warmtenet'!B58)</f>
        <v>0</v>
      </c>
      <c r="D5" s="30">
        <f>SUM(D6:D12)</f>
        <v>84023.142012876575</v>
      </c>
      <c r="E5" s="17">
        <f>SUM(E6:E12)</f>
        <v>2134.8691822167716</v>
      </c>
      <c r="F5" s="17">
        <f>SUM(F6:F12)</f>
        <v>21541.428693147078</v>
      </c>
      <c r="G5" s="18"/>
      <c r="H5" s="17"/>
      <c r="I5" s="17"/>
      <c r="J5" s="17">
        <f>SUM(J6:J12)</f>
        <v>0</v>
      </c>
      <c r="K5" s="17"/>
      <c r="L5" s="17"/>
      <c r="M5" s="17"/>
      <c r="N5" s="17">
        <f>SUM(N6:N12)</f>
        <v>2701.1524671641346</v>
      </c>
      <c r="O5" s="17">
        <f>B38*B39*B40</f>
        <v>0</v>
      </c>
      <c r="P5" s="17">
        <f>B46*B47*B48/1000-B46*B47*B48/1000/B49</f>
        <v>57.2</v>
      </c>
      <c r="R5" s="32"/>
    </row>
    <row r="6" spans="1:18">
      <c r="A6" s="32" t="s">
        <v>53</v>
      </c>
      <c r="B6" s="37">
        <f>B26</f>
        <v>6319.5594667304404</v>
      </c>
      <c r="C6" s="33"/>
      <c r="D6" s="37">
        <f>IF(ISERROR(TER_kantoor_gas_kWh/1000),0,TER_kantoor_gas_kWh/1000)*0.902</f>
        <v>7346.7618470375437</v>
      </c>
      <c r="E6" s="33">
        <f>$C$26*'E Balans VL '!I12/100/3.6*1000000</f>
        <v>218.60627026392538</v>
      </c>
      <c r="F6" s="33">
        <f>$C$26*('E Balans VL '!L12+'E Balans VL '!N12)/100/3.6*1000000</f>
        <v>964.74785658321866</v>
      </c>
      <c r="G6" s="34"/>
      <c r="H6" s="33"/>
      <c r="I6" s="33"/>
      <c r="J6" s="33">
        <f>$C$26*('E Balans VL '!D12+'E Balans VL '!E12)/100/3.6*1000000</f>
        <v>0</v>
      </c>
      <c r="K6" s="33"/>
      <c r="L6" s="33"/>
      <c r="M6" s="33"/>
      <c r="N6" s="33">
        <f>$C$26*'E Balans VL '!Y12/100/3.6*1000000</f>
        <v>97.419013289320219</v>
      </c>
      <c r="O6" s="33"/>
      <c r="P6" s="33"/>
      <c r="R6" s="32"/>
    </row>
    <row r="7" spans="1:18">
      <c r="A7" s="32" t="s">
        <v>52</v>
      </c>
      <c r="B7" s="37">
        <f t="shared" ref="B7:B12" si="0">B27</f>
        <v>5425.1597489932701</v>
      </c>
      <c r="C7" s="33"/>
      <c r="D7" s="37">
        <f>IF(ISERROR(TER_horeca_gas_kWh/1000),0,TER_horeca_gas_kWh/1000)*0.902</f>
        <v>8449.2284372958129</v>
      </c>
      <c r="E7" s="33">
        <f>$C$27*'E Balans VL '!I9/100/3.6*1000000</f>
        <v>297.31599341186114</v>
      </c>
      <c r="F7" s="33">
        <f>$C$27*('E Balans VL '!L9+'E Balans VL '!N9)/100/3.6*1000000</f>
        <v>918.11850030634173</v>
      </c>
      <c r="G7" s="34"/>
      <c r="H7" s="33"/>
      <c r="I7" s="33"/>
      <c r="J7" s="33">
        <f>$C$27*('E Balans VL '!D9+'E Balans VL '!E9)/100/3.6*1000000</f>
        <v>0</v>
      </c>
      <c r="K7" s="33"/>
      <c r="L7" s="33"/>
      <c r="M7" s="33"/>
      <c r="N7" s="33">
        <f>$C$27*'E Balans VL '!Y9/100/3.6*1000000</f>
        <v>0</v>
      </c>
      <c r="O7" s="33"/>
      <c r="P7" s="33"/>
      <c r="R7" s="32"/>
    </row>
    <row r="8" spans="1:18">
      <c r="A8" s="6" t="s">
        <v>51</v>
      </c>
      <c r="B8" s="37">
        <f t="shared" si="0"/>
        <v>11800.407259842799</v>
      </c>
      <c r="C8" s="33"/>
      <c r="D8" s="37">
        <f>IF(ISERROR(TER_handel_gas_kWh/1000),0,TER_handel_gas_kWh/1000)*0.902</f>
        <v>40136.63841732109</v>
      </c>
      <c r="E8" s="33">
        <f>$C$28*'E Balans VL '!I13/100/3.6*1000000</f>
        <v>59.700275240526153</v>
      </c>
      <c r="F8" s="33">
        <f>$C$28*('E Balans VL '!L13+'E Balans VL '!N13)/100/3.6*1000000</f>
        <v>1792.9795895350003</v>
      </c>
      <c r="G8" s="34"/>
      <c r="H8" s="33"/>
      <c r="I8" s="33"/>
      <c r="J8" s="33">
        <f>$C$28*('E Balans VL '!D13+'E Balans VL '!E13)/100/3.6*1000000</f>
        <v>0</v>
      </c>
      <c r="K8" s="33"/>
      <c r="L8" s="33"/>
      <c r="M8" s="33"/>
      <c r="N8" s="33">
        <f>$C$28*'E Balans VL '!Y13/100/3.6*1000000</f>
        <v>5.5181863231348816</v>
      </c>
      <c r="O8" s="33"/>
      <c r="P8" s="33"/>
      <c r="R8" s="32"/>
    </row>
    <row r="9" spans="1:18">
      <c r="A9" s="32" t="s">
        <v>50</v>
      </c>
      <c r="B9" s="37">
        <f t="shared" si="0"/>
        <v>3025.0913455466102</v>
      </c>
      <c r="C9" s="33"/>
      <c r="D9" s="37">
        <f>IF(ISERROR(TER_gezond_gas_kWh/1000),0,TER_gezond_gas_kWh/1000)*0.902</f>
        <v>4176.7206551355785</v>
      </c>
      <c r="E9" s="33">
        <f>$C$29*'E Balans VL '!I10/100/3.6*1000000</f>
        <v>1.1000613366525007</v>
      </c>
      <c r="F9" s="33">
        <f>$C$29*('E Balans VL '!L10+'E Balans VL '!N10)/100/3.6*1000000</f>
        <v>653.64049528150201</v>
      </c>
      <c r="G9" s="34"/>
      <c r="H9" s="33"/>
      <c r="I9" s="33"/>
      <c r="J9" s="33">
        <f>$C$29*('E Balans VL '!D10+'E Balans VL '!E10)/100/3.6*1000000</f>
        <v>0</v>
      </c>
      <c r="K9" s="33"/>
      <c r="L9" s="33"/>
      <c r="M9" s="33"/>
      <c r="N9" s="33">
        <f>$C$29*'E Balans VL '!Y10/100/3.6*1000000</f>
        <v>22.937071387433171</v>
      </c>
      <c r="O9" s="33"/>
      <c r="P9" s="33"/>
      <c r="R9" s="32"/>
    </row>
    <row r="10" spans="1:18">
      <c r="A10" s="32" t="s">
        <v>49</v>
      </c>
      <c r="B10" s="37">
        <f t="shared" si="0"/>
        <v>2258.07847417741</v>
      </c>
      <c r="C10" s="33"/>
      <c r="D10" s="37">
        <f>IF(ISERROR(TER_ander_gas_kWh/1000),0,TER_ander_gas_kWh/1000)*0.902</f>
        <v>2650.9974021095509</v>
      </c>
      <c r="E10" s="33">
        <f>$C$30*'E Balans VL '!I14/100/3.6*1000000</f>
        <v>13.746388535381351</v>
      </c>
      <c r="F10" s="33">
        <f>$C$30*('E Balans VL '!L14+'E Balans VL '!N14)/100/3.6*1000000</f>
        <v>597.8249822755896</v>
      </c>
      <c r="G10" s="34"/>
      <c r="H10" s="33"/>
      <c r="I10" s="33"/>
      <c r="J10" s="33">
        <f>$C$30*('E Balans VL '!D14+'E Balans VL '!E14)/100/3.6*1000000</f>
        <v>0</v>
      </c>
      <c r="K10" s="33"/>
      <c r="L10" s="33"/>
      <c r="M10" s="33"/>
      <c r="N10" s="33">
        <f>$C$30*'E Balans VL '!Y14/100/3.6*1000000</f>
        <v>470.29918575405031</v>
      </c>
      <c r="O10" s="33"/>
      <c r="P10" s="33"/>
      <c r="R10" s="32"/>
    </row>
    <row r="11" spans="1:18">
      <c r="A11" s="32" t="s">
        <v>54</v>
      </c>
      <c r="B11" s="37">
        <f t="shared" si="0"/>
        <v>2020.01820382197</v>
      </c>
      <c r="C11" s="33"/>
      <c r="D11" s="37">
        <f>IF(ISERROR(TER_onderwijs_gas_kWh/1000),0,TER_onderwijs_gas_kWh/1000)*0.902</f>
        <v>6773.8220611339812</v>
      </c>
      <c r="E11" s="33">
        <f>$C$31*'E Balans VL '!I11/100/3.6*1000000</f>
        <v>2.507017484058399</v>
      </c>
      <c r="F11" s="33">
        <f>$C$31*('E Balans VL '!L11+'E Balans VL '!N11)/100/3.6*1000000</f>
        <v>2380.697214600697</v>
      </c>
      <c r="G11" s="34"/>
      <c r="H11" s="33"/>
      <c r="I11" s="33"/>
      <c r="J11" s="33">
        <f>$C$31*('E Balans VL '!D11+'E Balans VL '!E11)/100/3.6*1000000</f>
        <v>0</v>
      </c>
      <c r="K11" s="33"/>
      <c r="L11" s="33"/>
      <c r="M11" s="33"/>
      <c r="N11" s="33">
        <f>$C$31*'E Balans VL '!Y11/100/3.6*1000000</f>
        <v>9.695898715224514</v>
      </c>
      <c r="O11" s="33"/>
      <c r="P11" s="33"/>
      <c r="R11" s="32"/>
    </row>
    <row r="12" spans="1:18">
      <c r="A12" s="32" t="s">
        <v>249</v>
      </c>
      <c r="B12" s="37">
        <f t="shared" si="0"/>
        <v>71964.058708614306</v>
      </c>
      <c r="C12" s="33"/>
      <c r="D12" s="37">
        <f>IF(ISERROR(TER_rest_gas_kWh/1000),0,TER_rest_gas_kWh/1000)*0.902</f>
        <v>14488.97319284303</v>
      </c>
      <c r="E12" s="33">
        <f>$C$32*'E Balans VL '!I8/100/3.6*1000000</f>
        <v>1541.8931759443665</v>
      </c>
      <c r="F12" s="33">
        <f>$C$32*('E Balans VL '!L8+'E Balans VL '!N8)/100/3.6*1000000</f>
        <v>14233.420054564727</v>
      </c>
      <c r="G12" s="34"/>
      <c r="H12" s="33"/>
      <c r="I12" s="33"/>
      <c r="J12" s="33">
        <f>$C$32*('E Balans VL '!D8+'E Balans VL '!E8)/100/3.6*1000000</f>
        <v>0</v>
      </c>
      <c r="K12" s="33"/>
      <c r="L12" s="33"/>
      <c r="M12" s="33"/>
      <c r="N12" s="33">
        <f>$C$32*'E Balans VL '!Y8/100/3.6*1000000</f>
        <v>2095.2831116949715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102812.37320772681</v>
      </c>
      <c r="C16" s="21">
        <f ca="1">C5+C13+C14</f>
        <v>0</v>
      </c>
      <c r="D16" s="21">
        <f t="shared" ref="D16:N16" ca="1" si="1">MAX((D5+D13+D14),0)</f>
        <v>84023.142012876575</v>
      </c>
      <c r="E16" s="21">
        <f t="shared" si="1"/>
        <v>2134.8691822167716</v>
      </c>
      <c r="F16" s="21">
        <f t="shared" ca="1" si="1"/>
        <v>21541.428693147078</v>
      </c>
      <c r="G16" s="21">
        <f t="shared" si="1"/>
        <v>0</v>
      </c>
      <c r="H16" s="21">
        <f t="shared" si="1"/>
        <v>0</v>
      </c>
      <c r="I16" s="21">
        <f t="shared" si="1"/>
        <v>0</v>
      </c>
      <c r="J16" s="21">
        <f t="shared" si="1"/>
        <v>0</v>
      </c>
      <c r="K16" s="21">
        <f t="shared" si="1"/>
        <v>0</v>
      </c>
      <c r="L16" s="21">
        <f t="shared" ca="1" si="1"/>
        <v>0</v>
      </c>
      <c r="M16" s="21">
        <f t="shared" si="1"/>
        <v>0</v>
      </c>
      <c r="N16" s="21">
        <f t="shared" ca="1" si="1"/>
        <v>2701.1524671641346</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0.21105196270567897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21698.753155919505</v>
      </c>
      <c r="C20" s="23">
        <f t="shared" ref="C20:P20" ca="1" si="2">C16*C18</f>
        <v>0</v>
      </c>
      <c r="D20" s="23">
        <f t="shared" ca="1" si="2"/>
        <v>16972.674686601069</v>
      </c>
      <c r="E20" s="23">
        <f t="shared" si="2"/>
        <v>484.61530436320714</v>
      </c>
      <c r="F20" s="23">
        <f t="shared" ca="1" si="2"/>
        <v>5751.5614610702705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6319.5594667304404</v>
      </c>
      <c r="C26" s="39">
        <f>IF(ISERROR(B26*3.6/1000000/'E Balans VL '!Z12*100),0,B26*3.6/1000000/'E Balans VL '!Z12*100)</f>
        <v>0.13141969870560252</v>
      </c>
      <c r="D26" s="233" t="s">
        <v>676</v>
      </c>
      <c r="F26" s="6"/>
    </row>
    <row r="27" spans="1:18">
      <c r="A27" s="228" t="s">
        <v>52</v>
      </c>
      <c r="B27" s="33">
        <f>IF(ISERROR(TER_horeca_ele_kWh/1000),0,TER_horeca_ele_kWh/1000)</f>
        <v>5425.1597489932701</v>
      </c>
      <c r="C27" s="39">
        <f>IF(ISERROR(B27*3.6/1000000/'E Balans VL '!Z9*100),0,B27*3.6/1000000/'E Balans VL '!Z9*100)</f>
        <v>0.44622323931875885</v>
      </c>
      <c r="D27" s="233" t="s">
        <v>676</v>
      </c>
      <c r="F27" s="6"/>
    </row>
    <row r="28" spans="1:18">
      <c r="A28" s="168" t="s">
        <v>51</v>
      </c>
      <c r="B28" s="33">
        <f>IF(ISERROR(TER_handel_ele_kWh/1000),0,TER_handel_ele_kWh/1000)</f>
        <v>11800.407259842799</v>
      </c>
      <c r="C28" s="39">
        <f>IF(ISERROR(B28*3.6/1000000/'E Balans VL '!Z13*100),0,B28*3.6/1000000/'E Balans VL '!Z13*100)</f>
        <v>0.3266329660346855</v>
      </c>
      <c r="D28" s="233" t="s">
        <v>676</v>
      </c>
      <c r="F28" s="6"/>
    </row>
    <row r="29" spans="1:18">
      <c r="A29" s="228" t="s">
        <v>50</v>
      </c>
      <c r="B29" s="33">
        <f>IF(ISERROR(TER_gezond_ele_kWh/1000),0,TER_gezond_ele_kWh/1000)</f>
        <v>3025.0913455466102</v>
      </c>
      <c r="C29" s="39">
        <f>IF(ISERROR(B29*3.6/1000000/'E Balans VL '!Z10*100),0,B29*3.6/1000000/'E Balans VL '!Z10*100)</f>
        <v>0.34498971071577911</v>
      </c>
      <c r="D29" s="233" t="s">
        <v>676</v>
      </c>
      <c r="F29" s="6"/>
    </row>
    <row r="30" spans="1:18">
      <c r="A30" s="228" t="s">
        <v>49</v>
      </c>
      <c r="B30" s="33">
        <f>IF(ISERROR(TER_ander_ele_kWh/1000),0,TER_ander_ele_kWh/1000)</f>
        <v>2258.07847417741</v>
      </c>
      <c r="C30" s="39">
        <f>IF(ISERROR(B30*3.6/1000000/'E Balans VL '!Z14*100),0,B30*3.6/1000000/'E Balans VL '!Z14*100)</f>
        <v>0.17478139899704995</v>
      </c>
      <c r="D30" s="233" t="s">
        <v>676</v>
      </c>
      <c r="F30" s="6"/>
    </row>
    <row r="31" spans="1:18">
      <c r="A31" s="228" t="s">
        <v>54</v>
      </c>
      <c r="B31" s="33">
        <f>IF(ISERROR(TER_onderwijs_ele_kWh/1000),0,TER_onderwijs_ele_kWh/1000)</f>
        <v>2020.01820382197</v>
      </c>
      <c r="C31" s="39">
        <f>IF(ISERROR(B31*3.6/1000000/'E Balans VL '!Z11*100),0,B31*3.6/1000000/'E Balans VL '!Z11*100)</f>
        <v>0.62939946220217546</v>
      </c>
      <c r="D31" s="233" t="s">
        <v>676</v>
      </c>
    </row>
    <row r="32" spans="1:18">
      <c r="A32" s="228" t="s">
        <v>249</v>
      </c>
      <c r="B32" s="33">
        <f>IF(ISERROR(TER_rest_ele_kWh/1000),0,TER_rest_ele_kWh/1000)</f>
        <v>71964.058708614306</v>
      </c>
      <c r="C32" s="39">
        <f>IF(ISERROR(B32*3.6/1000000/'E Balans VL '!Z8*100),0,B32*3.6/1000000/'E Balans VL '!Z8*100)</f>
        <v>0.59342136367100695</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3</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61049.734915125235</v>
      </c>
      <c r="C5" s="17">
        <f>IF(ISERROR('Eigen informatie GS &amp; warmtenet'!B59),0,'Eigen informatie GS &amp; warmtenet'!B59)</f>
        <v>0</v>
      </c>
      <c r="D5" s="30">
        <f>SUM(D6:D15)</f>
        <v>33696.720649637791</v>
      </c>
      <c r="E5" s="17">
        <f>SUM(E6:E15)</f>
        <v>724.39085549465472</v>
      </c>
      <c r="F5" s="17">
        <f>SUM(F6:F15)</f>
        <v>25165.990697362118</v>
      </c>
      <c r="G5" s="18"/>
      <c r="H5" s="17"/>
      <c r="I5" s="17"/>
      <c r="J5" s="17">
        <f>SUM(J6:J15)</f>
        <v>266.47120052677627</v>
      </c>
      <c r="K5" s="17"/>
      <c r="L5" s="17"/>
      <c r="M5" s="17"/>
      <c r="N5" s="17">
        <f>SUM(N6:N15)</f>
        <v>2346.5435346363997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401.52449395121602</v>
      </c>
      <c r="C8" s="33"/>
      <c r="D8" s="37">
        <f>IF( ISERROR(IND_metaal_Gas_kWH/1000),0,IND_metaal_Gas_kWH/1000)*0.902</f>
        <v>471.64543325017365</v>
      </c>
      <c r="E8" s="33">
        <f>C30*'E Balans VL '!I18/100/3.6*1000000</f>
        <v>2.821424026634177</v>
      </c>
      <c r="F8" s="33">
        <f>C30*'E Balans VL '!L18/100/3.6*1000000+C30*'E Balans VL '!N18/100/3.6*1000000</f>
        <v>44.085040286330546</v>
      </c>
      <c r="G8" s="34"/>
      <c r="H8" s="33"/>
      <c r="I8" s="33"/>
      <c r="J8" s="40">
        <f>C30*'E Balans VL '!D18/100/3.6*1000000+C30*'E Balans VL '!E18/100/3.6*1000000</f>
        <v>8.2843157528042699</v>
      </c>
      <c r="K8" s="33"/>
      <c r="L8" s="33"/>
      <c r="M8" s="33"/>
      <c r="N8" s="33">
        <f>C30*'E Balans VL '!Y18/100/3.6*1000000</f>
        <v>1.5049427210921944</v>
      </c>
      <c r="O8" s="33"/>
      <c r="P8" s="33"/>
      <c r="R8" s="32"/>
    </row>
    <row r="9" spans="1:18">
      <c r="A9" s="6" t="s">
        <v>32</v>
      </c>
      <c r="B9" s="37">
        <f t="shared" si="0"/>
        <v>22376.765026149798</v>
      </c>
      <c r="C9" s="33"/>
      <c r="D9" s="37">
        <f>IF( ISERROR(IND_andere_gas_kWh/1000),0,IND_andere_gas_kWh/1000)*0.902</f>
        <v>1085.6901099976149</v>
      </c>
      <c r="E9" s="33">
        <f>C31*'E Balans VL '!I19/100/3.6*1000000</f>
        <v>375.84518102657256</v>
      </c>
      <c r="F9" s="33">
        <f>C31*'E Balans VL '!L19/100/3.6*1000000+C31*'E Balans VL '!N19/100/3.6*1000000</f>
        <v>17492.880412070757</v>
      </c>
      <c r="G9" s="34"/>
      <c r="H9" s="33"/>
      <c r="I9" s="33"/>
      <c r="J9" s="40">
        <f>C31*'E Balans VL '!D19/100/3.6*1000000+C31*'E Balans VL '!E19/100/3.6*1000000</f>
        <v>2.0181866770407022</v>
      </c>
      <c r="K9" s="33"/>
      <c r="L9" s="33"/>
      <c r="M9" s="33"/>
      <c r="N9" s="33">
        <f>C31*'E Balans VL '!Y19/100/3.6*1000000</f>
        <v>1658.4772920268497</v>
      </c>
      <c r="O9" s="33"/>
      <c r="P9" s="33"/>
      <c r="R9" s="32"/>
    </row>
    <row r="10" spans="1:18">
      <c r="A10" s="6" t="s">
        <v>40</v>
      </c>
      <c r="B10" s="37">
        <f t="shared" si="0"/>
        <v>498.22553592522701</v>
      </c>
      <c r="C10" s="33"/>
      <c r="D10" s="37">
        <f>IF( ISERROR(IND_voed_gas_kWh/1000),0,IND_voed_gas_kWh/1000)*0.902</f>
        <v>618.14611515216075</v>
      </c>
      <c r="E10" s="33">
        <f>C32*'E Balans VL '!I20/100/3.6*1000000</f>
        <v>4.5456027521702724</v>
      </c>
      <c r="F10" s="33">
        <f>C32*'E Balans VL '!L20/100/3.6*1000000+C32*'E Balans VL '!N20/100/3.6*1000000</f>
        <v>80.379362527519845</v>
      </c>
      <c r="G10" s="34"/>
      <c r="H10" s="33"/>
      <c r="I10" s="33"/>
      <c r="J10" s="40">
        <f>C32*'E Balans VL '!D20/100/3.6*1000000+C32*'E Balans VL '!E20/100/3.6*1000000</f>
        <v>2.0520194094130768</v>
      </c>
      <c r="K10" s="33"/>
      <c r="L10" s="33"/>
      <c r="M10" s="33"/>
      <c r="N10" s="33">
        <f>C32*'E Balans VL '!Y20/100/3.6*1000000</f>
        <v>7.2886467287249062</v>
      </c>
      <c r="O10" s="33"/>
      <c r="P10" s="33"/>
      <c r="R10" s="32"/>
    </row>
    <row r="11" spans="1:18">
      <c r="A11" s="6" t="s">
        <v>39</v>
      </c>
      <c r="B11" s="37">
        <f t="shared" si="0"/>
        <v>15.380076032294101</v>
      </c>
      <c r="C11" s="33"/>
      <c r="D11" s="37">
        <f>IF( ISERROR(IND_textiel_gas_kWh/1000),0,IND_textiel_gas_kWh/1000)*0.902</f>
        <v>0</v>
      </c>
      <c r="E11" s="33">
        <f>C33*'E Balans VL '!I21/100/3.6*1000000</f>
        <v>3.5079100547534492E-2</v>
      </c>
      <c r="F11" s="33">
        <f>C33*'E Balans VL '!L21/100/3.6*1000000+C33*'E Balans VL '!N21/100/3.6*1000000</f>
        <v>0.32876339014654071</v>
      </c>
      <c r="G11" s="34"/>
      <c r="H11" s="33"/>
      <c r="I11" s="33"/>
      <c r="J11" s="40">
        <f>C33*'E Balans VL '!D21/100/3.6*1000000+C33*'E Balans VL '!E21/100/3.6*1000000</f>
        <v>0</v>
      </c>
      <c r="K11" s="33"/>
      <c r="L11" s="33"/>
      <c r="M11" s="33"/>
      <c r="N11" s="33">
        <f>C33*'E Balans VL '!Y21/100/3.6*1000000</f>
        <v>0.10910418445402195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17.844862941292998</v>
      </c>
      <c r="C13" s="33"/>
      <c r="D13" s="37">
        <f>IF( ISERROR(IND_papier_gas_kWh/1000),0,IND_papier_gas_kWh/1000)*0.902</f>
        <v>0</v>
      </c>
      <c r="E13" s="33">
        <f>C35*'E Balans VL '!I23/100/3.6*1000000</f>
        <v>0.54903986175903374</v>
      </c>
      <c r="F13" s="33">
        <f>C35*'E Balans VL '!L23/100/3.6*1000000+C35*'E Balans VL '!N23/100/3.6*1000000</f>
        <v>3.789088043550096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37739.994920125406</v>
      </c>
      <c r="C15" s="33"/>
      <c r="D15" s="37">
        <f>IF( ISERROR(IND_rest_gas_kWh/1000),0,IND_rest_gas_kWh/1000)*0.902</f>
        <v>31521.238991237846</v>
      </c>
      <c r="E15" s="33">
        <f>C37*'E Balans VL '!I15/100/3.6*1000000</f>
        <v>340.59452872697108</v>
      </c>
      <c r="F15" s="33">
        <f>C37*'E Balans VL '!L15/100/3.6*1000000+C37*'E Balans VL '!N15/100/3.6*1000000</f>
        <v>7544.5280310438156</v>
      </c>
      <c r="G15" s="34"/>
      <c r="H15" s="33"/>
      <c r="I15" s="33"/>
      <c r="J15" s="40">
        <f>C37*'E Balans VL '!D15/100/3.6*1000000+C37*'E Balans VL '!E15/100/3.6*1000000</f>
        <v>254.11667868751823</v>
      </c>
      <c r="K15" s="33"/>
      <c r="L15" s="33"/>
      <c r="M15" s="33"/>
      <c r="N15" s="33">
        <f>C37*'E Balans VL '!Y15/100/3.6*1000000</f>
        <v>679.16354897527879</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61049.734915125235</v>
      </c>
      <c r="C18" s="21">
        <f>C5+C16</f>
        <v>0</v>
      </c>
      <c r="D18" s="21">
        <f>MAX((D5+D16),0)</f>
        <v>33696.720649637791</v>
      </c>
      <c r="E18" s="21">
        <f>MAX((E5+E16),0)</f>
        <v>724.39085549465472</v>
      </c>
      <c r="F18" s="21">
        <f>MAX((F5+F16),0)</f>
        <v>25165.990697362118</v>
      </c>
      <c r="G18" s="21"/>
      <c r="H18" s="21"/>
      <c r="I18" s="21"/>
      <c r="J18" s="21">
        <f>MAX((J5+J16),0)</f>
        <v>266.47120052677627</v>
      </c>
      <c r="K18" s="21"/>
      <c r="L18" s="21">
        <f>MAX((L5+L16),0)</f>
        <v>0</v>
      </c>
      <c r="M18" s="21"/>
      <c r="N18" s="21">
        <f>MAX((N5+N16),0)</f>
        <v>2346.5435346363997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0.21105196270567897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12884.666376498599</v>
      </c>
      <c r="C22" s="23">
        <f ca="1">C18*C20</f>
        <v>0</v>
      </c>
      <c r="D22" s="23">
        <f>D18*D20</f>
        <v>6806.737571226834</v>
      </c>
      <c r="E22" s="23">
        <f>E18*E20</f>
        <v>164.43672419728662</v>
      </c>
      <c r="F22" s="23">
        <f>F18*F20</f>
        <v>6719.3195161956855</v>
      </c>
      <c r="G22" s="23"/>
      <c r="H22" s="23"/>
      <c r="I22" s="23"/>
      <c r="J22" s="23">
        <f>J18*J20</f>
        <v>94.330804986478796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401.52449395121602</v>
      </c>
      <c r="C30" s="39">
        <f>IF(ISERROR(B30*3.6/1000000/'E Balans VL '!Z18*100),0,B30*3.6/1000000/'E Balans VL '!Z18*100)</f>
        <v>2.6729730753735061E-2</v>
      </c>
      <c r="D30" s="233" t="s">
        <v>676</v>
      </c>
    </row>
    <row r="31" spans="1:18">
      <c r="A31" s="6" t="s">
        <v>32</v>
      </c>
      <c r="B31" s="37">
        <f>IF( ISERROR(IND_ander_ele_kWh/1000),0,IND_ander_ele_kWh/1000)</f>
        <v>22376.765026149798</v>
      </c>
      <c r="C31" s="39">
        <f>IF(ISERROR(B31*3.6/1000000/'E Balans VL '!Z19*100),0,B31*3.6/1000000/'E Balans VL '!Z19*100)</f>
        <v>0.99187331567870707</v>
      </c>
      <c r="D31" s="233" t="s">
        <v>676</v>
      </c>
    </row>
    <row r="32" spans="1:18">
      <c r="A32" s="168" t="s">
        <v>40</v>
      </c>
      <c r="B32" s="37">
        <f>IF( ISERROR(IND_voed_ele_kWh/1000),0,IND_voed_ele_kWh/1000)</f>
        <v>498.22553592522701</v>
      </c>
      <c r="C32" s="39">
        <f>IF(ISERROR(B32*3.6/1000000/'E Balans VL '!Z20*100),0,B32*3.6/1000000/'E Balans VL '!Z20*100)</f>
        <v>1.6642162123987406E-2</v>
      </c>
      <c r="D32" s="233" t="s">
        <v>676</v>
      </c>
    </row>
    <row r="33" spans="1:5">
      <c r="A33" s="168" t="s">
        <v>39</v>
      </c>
      <c r="B33" s="37">
        <f>IF( ISERROR(IND_textiel_ele_kWh/1000),0,IND_textiel_ele_kWh/1000)</f>
        <v>15.380076032294101</v>
      </c>
      <c r="C33" s="39">
        <f>IF(ISERROR(B33*3.6/1000000/'E Balans VL '!Z21*100),0,B33*3.6/1000000/'E Balans VL '!Z21*100)</f>
        <v>2.0248224767217193E-3</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17.844862941292998</v>
      </c>
      <c r="C35" s="39">
        <f>IF(ISERROR(B35*3.6/1000000/'E Balans VL '!Z22*100),0,B35*3.6/1000000/'E Balans VL '!Z22*100)</f>
        <v>3.4706298274042261E-3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37739.994920125406</v>
      </c>
      <c r="C37" s="39">
        <f>IF(ISERROR(B37*3.6/1000000/'E Balans VL '!Z15*100),0,B37*3.6/1000000/'E Balans VL '!Z15*100)</f>
        <v>0.28072407849473796</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609.81075502715601</v>
      </c>
      <c r="C5" s="17">
        <f>'Eigen informatie GS &amp; warmtenet'!B60</f>
        <v>0</v>
      </c>
      <c r="D5" s="30">
        <f>IF(ISERROR(SUM(LB_lb_gas_kWh,LB_rest_gas_kWh)/1000),0,SUM(LB_lb_gas_kWh,LB_rest_gas_kWh)/1000)*0.902</f>
        <v>1691.4226005662454</v>
      </c>
      <c r="E5" s="17">
        <f>B17*'E Balans VL '!I25/3.6*1000000/100</f>
        <v>5.4951686844432519</v>
      </c>
      <c r="F5" s="17">
        <f>B17*('E Balans VL '!L25/3.6*1000000+'E Balans VL '!N25/3.6*1000000)/100</f>
        <v>2284.9794976989124</v>
      </c>
      <c r="G5" s="18"/>
      <c r="H5" s="17"/>
      <c r="I5" s="17"/>
      <c r="J5" s="17">
        <f>('E Balans VL '!D25+'E Balans VL '!E25)/3.6*1000000*landbouw!B17/100</f>
        <v>61.710326301890873</v>
      </c>
      <c r="K5" s="17"/>
      <c r="L5" s="17">
        <f>L6*(-1)</f>
        <v>0</v>
      </c>
      <c r="M5" s="17"/>
      <c r="N5" s="17">
        <f>N6*(-1)</f>
        <v>14541.428571428572</v>
      </c>
      <c r="O5" s="17"/>
      <c r="P5" s="17"/>
      <c r="R5" s="32"/>
    </row>
    <row r="6" spans="1:18">
      <c r="A6" s="16" t="s">
        <v>483</v>
      </c>
      <c r="B6" s="17" t="s">
        <v>204</v>
      </c>
      <c r="C6" s="17">
        <f>'lokale energieproductie'!O39+'lokale energieproductie'!O32</f>
        <v>7270.7142857142862</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-14541.428571428572</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609.81075502715601</v>
      </c>
      <c r="C8" s="21">
        <f>C5+C6</f>
        <v>7270.7142857142862</v>
      </c>
      <c r="D8" s="21">
        <f>MAX((D5+D6),0)</f>
        <v>1691.4226005662454</v>
      </c>
      <c r="E8" s="21">
        <f>MAX((E5+E6),0)</f>
        <v>5.4951686844432519</v>
      </c>
      <c r="F8" s="21">
        <f>MAX((F5+F6),0)</f>
        <v>2284.9794976989124</v>
      </c>
      <c r="G8" s="21"/>
      <c r="H8" s="21"/>
      <c r="I8" s="21"/>
      <c r="J8" s="21">
        <f>MAX((J5+J6),0)</f>
        <v>61.710326301890873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0.21105196270567897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128.70175672751327</v>
      </c>
      <c r="C12" s="23">
        <f ca="1">C8*C10</f>
        <v>0</v>
      </c>
      <c r="D12" s="23">
        <f>D8*D10</f>
        <v>341.66736531438158</v>
      </c>
      <c r="E12" s="23">
        <f>E8*E10</f>
        <v>1.2474032913686182</v>
      </c>
      <c r="F12" s="23">
        <f>F8*F10</f>
        <v>610.08952588560965</v>
      </c>
      <c r="G12" s="23"/>
      <c r="H12" s="23"/>
      <c r="I12" s="23"/>
      <c r="J12" s="23">
        <f>J8*J10</f>
        <v>21.845455510869368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9.3861646721610389E-2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97.448413542969078</v>
      </c>
      <c r="C26" s="243">
        <f>B26*'GWP N2O_CH4'!B5</f>
        <v>2046.4166844023507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25.950990757343682</v>
      </c>
      <c r="C27" s="243">
        <f>B27*'GWP N2O_CH4'!B5</f>
        <v>544.97080590421729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1.4641764409213518</v>
      </c>
      <c r="C28" s="243">
        <f>B28*'GWP N2O_CH4'!B4</f>
        <v>453.89469668561907</v>
      </c>
      <c r="D28" s="50"/>
    </row>
    <row r="29" spans="1:4">
      <c r="A29" s="41" t="s">
        <v>266</v>
      </c>
      <c r="B29" s="243">
        <f>B34*'ha_N2O bodem landbouw'!B4</f>
        <v>9.369220163277566</v>
      </c>
      <c r="C29" s="243">
        <f>B29*'GWP N2O_CH4'!B4</f>
        <v>2904.4582506160455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2.4325401309646302E-3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2.465397483325451E-5</v>
      </c>
      <c r="C5" s="431" t="s">
        <v>204</v>
      </c>
      <c r="D5" s="416">
        <f>SUM(D6:D11)</f>
        <v>8.725994825169071E-5</v>
      </c>
      <c r="E5" s="416">
        <f>SUM(E6:E11)</f>
        <v>9.5369692177452534E-3</v>
      </c>
      <c r="F5" s="429" t="s">
        <v>204</v>
      </c>
      <c r="G5" s="416">
        <f>SUM(G6:G11)</f>
        <v>1.6883855586882606</v>
      </c>
      <c r="H5" s="416">
        <f>SUM(H6:H11)</f>
        <v>0.30402875367373655</v>
      </c>
      <c r="I5" s="431" t="s">
        <v>204</v>
      </c>
      <c r="J5" s="431" t="s">
        <v>204</v>
      </c>
      <c r="K5" s="431" t="s">
        <v>204</v>
      </c>
      <c r="L5" s="431" t="s">
        <v>204</v>
      </c>
      <c r="M5" s="416">
        <f>SUM(M6:M11)</f>
        <v>8.6727203206928755E-2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9.1881318739915301E-6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2.9002125693333811E-5</v>
      </c>
      <c r="E6" s="419">
        <f>vkm_GW_PW*SUMIFS(TableVerdeelsleutelVkm[LPG],TableVerdeelsleutelVkm[Voertuigtype],"Lichte voertuigen")*SUMIFS(TableECFTransport[EnergieConsumptieFactor (PJ per km)],TableECFTransport[Index],CONCATENATE($A6,"_LPG_LPG"))</f>
        <v>3.012116183040355E-3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0.40206477622586062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0.10098134544106421</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2.196829371586451E-2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4.1017119598156192E-7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0.18489513745456548</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5.4404198833100554E-6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7.9653794006647929E-3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5.8709376345589968E-6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3.143092032249584E-5</v>
      </c>
      <c r="E8" s="419">
        <f>vkm_NGW_PW*SUMIFS(TableVerdeelsleutelVkm[LPG],TableVerdeelsleutelVkm[Voertuigtype],"Lichte voertuigen")*SUMIFS(TableECFTransport[EnergieConsumptieFactor (PJ per km)],TableECFTransport[Index],CONCATENATE($A8,"_LPG_LPG"))</f>
        <v>3.0723769118233442E-3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0.39012998463734694</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0.1033597273904287</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2.1563618081585832E-2</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1.5860200359091432E-7</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9.9030282155930432E-2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2.5391734930879174E-6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4.2662591970492152E-3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8.6026226704551751E-6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2.6826902235861058E-5</v>
      </c>
      <c r="E10" s="419">
        <f>vkm_SW_PW*SUMIFS(TableVerdeelsleutelVkm[LPG],TableVerdeelsleutelVkm[Voertuigtype],"Lichte voertuigen")*SUMIFS(TableECFTransport[EnergieConsumptieFactor (PJ per km)],TableECFTransport[Index],CONCATENATE($A10,"_LPG_LPG"))</f>
        <v>3.4524761228815542E-3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0.42805536559287921</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9.9673919478889067E-2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2.3027772309373588E-2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4.2350945467633155E-7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0.18421001262167783</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5.7817699781539427E-6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7.9358805023908088E-3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6.8483263425706973</v>
      </c>
      <c r="C14" s="21"/>
      <c r="D14" s="21">
        <f t="shared" ref="D14:M14" si="0">((D5)*10^9/3600)+D12</f>
        <v>24.238874514358532</v>
      </c>
      <c r="E14" s="21">
        <f t="shared" si="0"/>
        <v>2649.1581160403484</v>
      </c>
      <c r="F14" s="21"/>
      <c r="G14" s="21">
        <f t="shared" si="0"/>
        <v>468995.98852451681</v>
      </c>
      <c r="H14" s="21">
        <f t="shared" si="0"/>
        <v>84452.43157603794</v>
      </c>
      <c r="I14" s="21"/>
      <c r="J14" s="21"/>
      <c r="K14" s="21"/>
      <c r="L14" s="21"/>
      <c r="M14" s="21">
        <f t="shared" si="0"/>
        <v>24090.889779702433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0.21105196270567897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1.4453527158485497</v>
      </c>
      <c r="C18" s="23"/>
      <c r="D18" s="23">
        <f t="shared" ref="D18:M18" si="1">D14*D16</f>
        <v>4.8962526519004239</v>
      </c>
      <c r="E18" s="23">
        <f t="shared" si="1"/>
        <v>601.35889234115916</v>
      </c>
      <c r="F18" s="23"/>
      <c r="G18" s="23">
        <f t="shared" si="1"/>
        <v>125221.928936046</v>
      </c>
      <c r="H18" s="23">
        <f t="shared" si="1"/>
        <v>21028.655462433446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7.1005780340159828E-5</v>
      </c>
      <c r="C50" s="313">
        <f t="shared" ref="C50:P50" si="2">SUM(C51:C52)</f>
        <v>0</v>
      </c>
      <c r="D50" s="313">
        <f t="shared" si="2"/>
        <v>0</v>
      </c>
      <c r="E50" s="313">
        <f t="shared" si="2"/>
        <v>0</v>
      </c>
      <c r="F50" s="313">
        <f t="shared" si="2"/>
        <v>0</v>
      </c>
      <c r="G50" s="313">
        <f t="shared" si="2"/>
        <v>1.5403991156820724E-2</v>
      </c>
      <c r="H50" s="313">
        <f t="shared" si="2"/>
        <v>0</v>
      </c>
      <c r="I50" s="313">
        <f t="shared" si="2"/>
        <v>0</v>
      </c>
      <c r="J50" s="313">
        <f t="shared" si="2"/>
        <v>0</v>
      </c>
      <c r="K50" s="313">
        <f t="shared" si="2"/>
        <v>0</v>
      </c>
      <c r="L50" s="313">
        <f t="shared" si="2"/>
        <v>0</v>
      </c>
      <c r="M50" s="313">
        <f t="shared" si="2"/>
        <v>6.59539730769009E-4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7.1005780340159828E-5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1.5403991156820724E-2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6.59539730769009E-4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19.723827872266618</v>
      </c>
      <c r="C54" s="21">
        <f t="shared" ref="C54:P54" si="3">(C50)*10^9/3600</f>
        <v>0</v>
      </c>
      <c r="D54" s="21">
        <f t="shared" si="3"/>
        <v>0</v>
      </c>
      <c r="E54" s="21">
        <f t="shared" si="3"/>
        <v>0</v>
      </c>
      <c r="F54" s="21">
        <f t="shared" si="3"/>
        <v>0</v>
      </c>
      <c r="G54" s="21">
        <f t="shared" si="3"/>
        <v>4278.886432450201</v>
      </c>
      <c r="H54" s="21">
        <f t="shared" si="3"/>
        <v>0</v>
      </c>
      <c r="I54" s="21">
        <f t="shared" si="3"/>
        <v>0</v>
      </c>
      <c r="J54" s="21">
        <f t="shared" si="3"/>
        <v>0</v>
      </c>
      <c r="K54" s="21">
        <f t="shared" si="3"/>
        <v>0</v>
      </c>
      <c r="L54" s="21">
        <f t="shared" si="3"/>
        <v>0</v>
      </c>
      <c r="M54" s="21">
        <f t="shared" si="3"/>
        <v>183.20548076916916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0.21105196270567897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4.1627525845108453</v>
      </c>
      <c r="C58" s="23">
        <f t="shared" ref="C58:P58" ca="1" si="4">C54*C56</f>
        <v>0</v>
      </c>
      <c r="D58" s="23">
        <f t="shared" si="4"/>
        <v>0</v>
      </c>
      <c r="E58" s="23">
        <f t="shared" si="4"/>
        <v>0</v>
      </c>
      <c r="F58" s="23">
        <f t="shared" si="4"/>
        <v>0</v>
      </c>
      <c r="G58" s="23">
        <f t="shared" si="4"/>
        <v>1142.4626774642038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2642.9898546116724</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2824.0539449565113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5089.5</v>
      </c>
      <c r="C8" s="542">
        <f>B48</f>
        <v>0</v>
      </c>
      <c r="D8" s="920"/>
      <c r="E8" s="920">
        <f>E48</f>
        <v>0</v>
      </c>
      <c r="F8" s="921"/>
      <c r="G8" s="543"/>
      <c r="H8" s="920">
        <f>I48</f>
        <v>0</v>
      </c>
      <c r="I8" s="920">
        <f>G48+F48</f>
        <v>0</v>
      </c>
      <c r="J8" s="920">
        <f>H48+D48+C48</f>
        <v>5987.6470588235297</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10556.543799568184</v>
      </c>
      <c r="C10" s="554">
        <f t="shared" ref="C10:L10" si="0">SUM(C8:C9)</f>
        <v>0</v>
      </c>
      <c r="D10" s="554">
        <f t="shared" si="0"/>
        <v>0</v>
      </c>
      <c r="E10" s="554">
        <f t="shared" si="0"/>
        <v>0</v>
      </c>
      <c r="F10" s="554">
        <f t="shared" si="0"/>
        <v>0</v>
      </c>
      <c r="G10" s="554">
        <f t="shared" si="0"/>
        <v>0</v>
      </c>
      <c r="H10" s="554">
        <f t="shared" si="0"/>
        <v>0</v>
      </c>
      <c r="I10" s="554">
        <f t="shared" si="0"/>
        <v>0</v>
      </c>
      <c r="J10" s="554">
        <f t="shared" si="0"/>
        <v>5987.6470588235297</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7270.7142857142862</v>
      </c>
      <c r="C17" s="566">
        <f>B49</f>
        <v>0</v>
      </c>
      <c r="D17" s="567"/>
      <c r="E17" s="567">
        <f>E49</f>
        <v>0</v>
      </c>
      <c r="F17" s="568"/>
      <c r="G17" s="569"/>
      <c r="H17" s="566">
        <f>I49</f>
        <v>0</v>
      </c>
      <c r="I17" s="567">
        <f>G49+F49</f>
        <v>0</v>
      </c>
      <c r="J17" s="567">
        <f>H49+D49+C49</f>
        <v>8553.7815126050427</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7270.7142857142862</v>
      </c>
      <c r="C20" s="553">
        <f>SUM(C17:C19)</f>
        <v>0</v>
      </c>
      <c r="D20" s="553">
        <f t="shared" ref="D20:L20" si="1">SUM(D17:D19)</f>
        <v>0</v>
      </c>
      <c r="E20" s="553">
        <f t="shared" si="1"/>
        <v>0</v>
      </c>
      <c r="F20" s="553">
        <f t="shared" si="1"/>
        <v>0</v>
      </c>
      <c r="G20" s="553">
        <f t="shared" si="1"/>
        <v>0</v>
      </c>
      <c r="H20" s="553">
        <f t="shared" si="1"/>
        <v>0</v>
      </c>
      <c r="I20" s="553">
        <f t="shared" si="1"/>
        <v>0</v>
      </c>
      <c r="J20" s="553">
        <f t="shared" si="1"/>
        <v>8553.7815126050427</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23027</v>
      </c>
      <c r="C28" s="736">
        <v>1500</v>
      </c>
      <c r="D28" s="626"/>
      <c r="E28" s="625"/>
      <c r="F28" s="625"/>
      <c r="G28" s="625" t="s">
        <v>962</v>
      </c>
      <c r="H28" s="625" t="s">
        <v>963</v>
      </c>
      <c r="I28" s="625"/>
      <c r="J28" s="735"/>
      <c r="K28" s="735"/>
      <c r="L28" s="625" t="s">
        <v>964</v>
      </c>
      <c r="M28" s="625">
        <v>1131</v>
      </c>
      <c r="N28" s="625">
        <v>5089.5</v>
      </c>
      <c r="O28" s="625">
        <v>7270.7142857142862</v>
      </c>
      <c r="P28" s="625">
        <v>0</v>
      </c>
      <c r="Q28" s="625">
        <v>14541.428571428572</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1131</v>
      </c>
      <c r="N29" s="583">
        <f>SUM(N28:N28)</f>
        <v>5089.5</v>
      </c>
      <c r="O29" s="583">
        <f>SUM(O28:O28)</f>
        <v>7270.7142857142862</v>
      </c>
      <c r="P29" s="583">
        <f>SUM(P28:P28)</f>
        <v>0</v>
      </c>
      <c r="Q29" s="583">
        <f>SUM(Q28:Q28)</f>
        <v>14541.428571428572</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1131</v>
      </c>
      <c r="N32" s="588">
        <f>SUMIF($AA$28:$AA$28,"landbouw",N28:N28)</f>
        <v>5089.5</v>
      </c>
      <c r="O32" s="588">
        <f>SUMIF($AA$28:$AA$28,"landbouw",O28:O28)</f>
        <v>7270.7142857142862</v>
      </c>
      <c r="P32" s="588">
        <f>SUMIF($AA$28:$AA$28,"landbouw",P28:P28)</f>
        <v>0</v>
      </c>
      <c r="Q32" s="588">
        <f>SUMIF($AA$28:$AA$28,"landbouw",Q28:Q28)</f>
        <v>14541.428571428572</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5987.6470588235297</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8553.7815126050427</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105746.1372077268</v>
      </c>
      <c r="D10" s="635">
        <f ca="1">tertiair!C16</f>
        <v>0</v>
      </c>
      <c r="E10" s="635">
        <f ca="1">tertiair!D16</f>
        <v>84023.142012876575</v>
      </c>
      <c r="F10" s="635">
        <f>tertiair!E16</f>
        <v>2134.8691822167716</v>
      </c>
      <c r="G10" s="635">
        <f ca="1">tertiair!F16</f>
        <v>21541.428693147078</v>
      </c>
      <c r="H10" s="635">
        <f>tertiair!G16</f>
        <v>0</v>
      </c>
      <c r="I10" s="635">
        <f>tertiair!H16</f>
        <v>0</v>
      </c>
      <c r="J10" s="635">
        <f>tertiair!I16</f>
        <v>0</v>
      </c>
      <c r="K10" s="635">
        <f>tertiair!J16</f>
        <v>0</v>
      </c>
      <c r="L10" s="635">
        <f>tertiair!K16</f>
        <v>0</v>
      </c>
      <c r="M10" s="635">
        <f ca="1">tertiair!L16</f>
        <v>0</v>
      </c>
      <c r="N10" s="635">
        <f>tertiair!M16</f>
        <v>0</v>
      </c>
      <c r="O10" s="635">
        <f ca="1">tertiair!N16</f>
        <v>2701.1524671641346</v>
      </c>
      <c r="P10" s="635">
        <f>tertiair!O16</f>
        <v>0</v>
      </c>
      <c r="Q10" s="636">
        <f>tertiair!P16</f>
        <v>57.2</v>
      </c>
      <c r="R10" s="638">
        <f ca="1">SUM(C10:Q10)</f>
        <v>216203.92956313136</v>
      </c>
      <c r="S10" s="67"/>
    </row>
    <row r="11" spans="1:19" s="441" customFormat="1">
      <c r="A11" s="749" t="s">
        <v>214</v>
      </c>
      <c r="B11" s="754"/>
      <c r="C11" s="635">
        <f>huishoudens!B8</f>
        <v>62470.267105158338</v>
      </c>
      <c r="D11" s="635">
        <f>huishoudens!C8</f>
        <v>0</v>
      </c>
      <c r="E11" s="635">
        <f>huishoudens!D8</f>
        <v>160618.58785597759</v>
      </c>
      <c r="F11" s="635">
        <f>huishoudens!E8</f>
        <v>2309.6150459410928</v>
      </c>
      <c r="G11" s="635">
        <f>huishoudens!F8</f>
        <v>78837.313757675511</v>
      </c>
      <c r="H11" s="635">
        <f>huishoudens!G8</f>
        <v>0</v>
      </c>
      <c r="I11" s="635">
        <f>huishoudens!H8</f>
        <v>0</v>
      </c>
      <c r="J11" s="635">
        <f>huishoudens!I8</f>
        <v>0</v>
      </c>
      <c r="K11" s="635">
        <f>huishoudens!J8</f>
        <v>1775.216430591742</v>
      </c>
      <c r="L11" s="635">
        <f>huishoudens!K8</f>
        <v>0</v>
      </c>
      <c r="M11" s="635">
        <f>huishoudens!L8</f>
        <v>0</v>
      </c>
      <c r="N11" s="635">
        <f>huishoudens!M8</f>
        <v>0</v>
      </c>
      <c r="O11" s="635">
        <f>huishoudens!N8</f>
        <v>17861.199577219515</v>
      </c>
      <c r="P11" s="635">
        <f>huishoudens!O8</f>
        <v>82.856666666666683</v>
      </c>
      <c r="Q11" s="636">
        <f>huishoudens!P8</f>
        <v>228.8</v>
      </c>
      <c r="R11" s="638">
        <f>SUM(C11:Q11)</f>
        <v>324183.85643923044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61049.734915125235</v>
      </c>
      <c r="D13" s="635">
        <f>industrie!C18</f>
        <v>0</v>
      </c>
      <c r="E13" s="635">
        <f>industrie!D18</f>
        <v>33696.720649637791</v>
      </c>
      <c r="F13" s="635">
        <f>industrie!E18</f>
        <v>724.39085549465472</v>
      </c>
      <c r="G13" s="635">
        <f>industrie!F18</f>
        <v>25165.990697362118</v>
      </c>
      <c r="H13" s="635">
        <f>industrie!G18</f>
        <v>0</v>
      </c>
      <c r="I13" s="635">
        <f>industrie!H18</f>
        <v>0</v>
      </c>
      <c r="J13" s="635">
        <f>industrie!I18</f>
        <v>0</v>
      </c>
      <c r="K13" s="635">
        <f>industrie!J18</f>
        <v>266.47120052677627</v>
      </c>
      <c r="L13" s="635">
        <f>industrie!K18</f>
        <v>0</v>
      </c>
      <c r="M13" s="635">
        <f>industrie!L18</f>
        <v>0</v>
      </c>
      <c r="N13" s="635">
        <f>industrie!M18</f>
        <v>0</v>
      </c>
      <c r="O13" s="635">
        <f>industrie!N18</f>
        <v>2346.5435346363997</v>
      </c>
      <c r="P13" s="635">
        <f>industrie!O18</f>
        <v>0</v>
      </c>
      <c r="Q13" s="636">
        <f>industrie!P18</f>
        <v>0</v>
      </c>
      <c r="R13" s="638">
        <f>SUM(C13:Q13)</f>
        <v>123249.85185278296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229266.13922801038</v>
      </c>
      <c r="D16" s="668">
        <f t="shared" ref="D16:R16" ca="1" si="0">SUM(D9:D15)</f>
        <v>0</v>
      </c>
      <c r="E16" s="668">
        <f t="shared" ca="1" si="0"/>
        <v>278338.45051849197</v>
      </c>
      <c r="F16" s="668">
        <f t="shared" si="0"/>
        <v>5168.8750836525187</v>
      </c>
      <c r="G16" s="668">
        <f t="shared" ca="1" si="0"/>
        <v>125544.73314818469</v>
      </c>
      <c r="H16" s="668">
        <f t="shared" si="0"/>
        <v>0</v>
      </c>
      <c r="I16" s="668">
        <f t="shared" si="0"/>
        <v>0</v>
      </c>
      <c r="J16" s="668">
        <f t="shared" si="0"/>
        <v>0</v>
      </c>
      <c r="K16" s="668">
        <f t="shared" si="0"/>
        <v>2041.6876311185183</v>
      </c>
      <c r="L16" s="668">
        <f t="shared" si="0"/>
        <v>0</v>
      </c>
      <c r="M16" s="668">
        <f t="shared" ca="1" si="0"/>
        <v>0</v>
      </c>
      <c r="N16" s="668">
        <f t="shared" si="0"/>
        <v>0</v>
      </c>
      <c r="O16" s="668">
        <f t="shared" ca="1" si="0"/>
        <v>22908.895579020049</v>
      </c>
      <c r="P16" s="668">
        <f t="shared" si="0"/>
        <v>82.856666666666683</v>
      </c>
      <c r="Q16" s="668">
        <f t="shared" si="0"/>
        <v>286</v>
      </c>
      <c r="R16" s="668">
        <f t="shared" ca="1" si="0"/>
        <v>663637.6378551448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19.723827872266618</v>
      </c>
      <c r="D19" s="635">
        <f>transport!C54</f>
        <v>0</v>
      </c>
      <c r="E19" s="635">
        <f>transport!D54</f>
        <v>0</v>
      </c>
      <c r="F19" s="635">
        <f>transport!E54</f>
        <v>0</v>
      </c>
      <c r="G19" s="635">
        <f>transport!F54</f>
        <v>0</v>
      </c>
      <c r="H19" s="635">
        <f>transport!G54</f>
        <v>4278.886432450201</v>
      </c>
      <c r="I19" s="635">
        <f>transport!H54</f>
        <v>0</v>
      </c>
      <c r="J19" s="635">
        <f>transport!I54</f>
        <v>0</v>
      </c>
      <c r="K19" s="635">
        <f>transport!J54</f>
        <v>0</v>
      </c>
      <c r="L19" s="635">
        <f>transport!K54</f>
        <v>0</v>
      </c>
      <c r="M19" s="635">
        <f>transport!L54</f>
        <v>0</v>
      </c>
      <c r="N19" s="635">
        <f>transport!M54</f>
        <v>183.20548076916916</v>
      </c>
      <c r="O19" s="635">
        <f>transport!N54</f>
        <v>0</v>
      </c>
      <c r="P19" s="635">
        <f>transport!O54</f>
        <v>0</v>
      </c>
      <c r="Q19" s="636">
        <f>transport!P54</f>
        <v>0</v>
      </c>
      <c r="R19" s="638">
        <f>SUM(C19:Q19)</f>
        <v>4481.8157410916374</v>
      </c>
      <c r="S19" s="67"/>
    </row>
    <row r="20" spans="1:19" s="441" customFormat="1">
      <c r="A20" s="749" t="s">
        <v>296</v>
      </c>
      <c r="B20" s="754"/>
      <c r="C20" s="635">
        <f>transport!B14</f>
        <v>6.8483263425706973</v>
      </c>
      <c r="D20" s="635">
        <f>transport!C14</f>
        <v>0</v>
      </c>
      <c r="E20" s="635">
        <f>transport!D14</f>
        <v>24.238874514358532</v>
      </c>
      <c r="F20" s="635">
        <f>transport!E14</f>
        <v>2649.1581160403484</v>
      </c>
      <c r="G20" s="635">
        <f>transport!F14</f>
        <v>0</v>
      </c>
      <c r="H20" s="635">
        <f>transport!G14</f>
        <v>468995.98852451681</v>
      </c>
      <c r="I20" s="635">
        <f>transport!H14</f>
        <v>84452.43157603794</v>
      </c>
      <c r="J20" s="635">
        <f>transport!I14</f>
        <v>0</v>
      </c>
      <c r="K20" s="635">
        <f>transport!J14</f>
        <v>0</v>
      </c>
      <c r="L20" s="635">
        <f>transport!K14</f>
        <v>0</v>
      </c>
      <c r="M20" s="635">
        <f>transport!L14</f>
        <v>0</v>
      </c>
      <c r="N20" s="635">
        <f>transport!M14</f>
        <v>24090.889779702433</v>
      </c>
      <c r="O20" s="635">
        <f>transport!N14</f>
        <v>0</v>
      </c>
      <c r="P20" s="635">
        <f>transport!O14</f>
        <v>0</v>
      </c>
      <c r="Q20" s="636">
        <f>transport!P14</f>
        <v>0</v>
      </c>
      <c r="R20" s="638">
        <f>SUM(C20:Q20)</f>
        <v>580219.5551971544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26.572154214837315</v>
      </c>
      <c r="D22" s="752">
        <f t="shared" ref="D22:R22" si="1">SUM(D18:D21)</f>
        <v>0</v>
      </c>
      <c r="E22" s="752">
        <f t="shared" si="1"/>
        <v>24.238874514358532</v>
      </c>
      <c r="F22" s="752">
        <f t="shared" si="1"/>
        <v>2649.1581160403484</v>
      </c>
      <c r="G22" s="752">
        <f t="shared" si="1"/>
        <v>0</v>
      </c>
      <c r="H22" s="752">
        <f t="shared" si="1"/>
        <v>473274.87495696702</v>
      </c>
      <c r="I22" s="752">
        <f t="shared" si="1"/>
        <v>84452.43157603794</v>
      </c>
      <c r="J22" s="752">
        <f t="shared" si="1"/>
        <v>0</v>
      </c>
      <c r="K22" s="752">
        <f t="shared" si="1"/>
        <v>0</v>
      </c>
      <c r="L22" s="752">
        <f t="shared" si="1"/>
        <v>0</v>
      </c>
      <c r="M22" s="752">
        <f t="shared" si="1"/>
        <v>0</v>
      </c>
      <c r="N22" s="752">
        <f t="shared" si="1"/>
        <v>24274.0952604716</v>
      </c>
      <c r="O22" s="752">
        <f t="shared" si="1"/>
        <v>0</v>
      </c>
      <c r="P22" s="752">
        <f t="shared" si="1"/>
        <v>0</v>
      </c>
      <c r="Q22" s="752">
        <f t="shared" si="1"/>
        <v>0</v>
      </c>
      <c r="R22" s="752">
        <f t="shared" si="1"/>
        <v>584701.37093824602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609.81075502715601</v>
      </c>
      <c r="D24" s="635">
        <f>+landbouw!C8</f>
        <v>7270.7142857142862</v>
      </c>
      <c r="E24" s="635">
        <f>+landbouw!D8</f>
        <v>1691.4226005662454</v>
      </c>
      <c r="F24" s="635">
        <f>+landbouw!E8</f>
        <v>5.4951686844432519</v>
      </c>
      <c r="G24" s="635">
        <f>+landbouw!F8</f>
        <v>2284.9794976989124</v>
      </c>
      <c r="H24" s="635">
        <f>+landbouw!G8</f>
        <v>0</v>
      </c>
      <c r="I24" s="635">
        <f>+landbouw!H8</f>
        <v>0</v>
      </c>
      <c r="J24" s="635">
        <f>+landbouw!I8</f>
        <v>0</v>
      </c>
      <c r="K24" s="635">
        <f>+landbouw!J8</f>
        <v>61.710326301890873</v>
      </c>
      <c r="L24" s="635">
        <f>+landbouw!K8</f>
        <v>0</v>
      </c>
      <c r="M24" s="635">
        <f>+landbouw!L8</f>
        <v>0</v>
      </c>
      <c r="N24" s="635">
        <f>+landbouw!M8</f>
        <v>0</v>
      </c>
      <c r="O24" s="635">
        <f>+landbouw!N8</f>
        <v>0</v>
      </c>
      <c r="P24" s="635">
        <f>+landbouw!O8</f>
        <v>0</v>
      </c>
      <c r="Q24" s="636">
        <f>+landbouw!P8</f>
        <v>0</v>
      </c>
      <c r="R24" s="638">
        <f>SUM(C24:Q24)</f>
        <v>11924.132633992935</v>
      </c>
      <c r="S24" s="67"/>
    </row>
    <row r="25" spans="1:19" s="441" customFormat="1" ht="15" thickBot="1">
      <c r="A25" s="771" t="s">
        <v>864</v>
      </c>
      <c r="B25" s="923"/>
      <c r="C25" s="924">
        <f>IF(Onbekend_ele_kWh="---",0,Onbekend_ele_kWh)/1000+IF(REST_rest_ele_kWh="---",0,REST_rest_ele_kWh)/1000</f>
        <v>4615.7160519414301</v>
      </c>
      <c r="D25" s="924"/>
      <c r="E25" s="924">
        <f>IF(onbekend_gas_kWh="---",0,onbekend_gas_kWh)/1000+IF(REST_rest_gas_kWh="---",0,REST_rest_gas_kWh)/1000</f>
        <v>11728.912751477699</v>
      </c>
      <c r="F25" s="924"/>
      <c r="G25" s="924"/>
      <c r="H25" s="924"/>
      <c r="I25" s="924"/>
      <c r="J25" s="924"/>
      <c r="K25" s="924"/>
      <c r="L25" s="924"/>
      <c r="M25" s="924"/>
      <c r="N25" s="924"/>
      <c r="O25" s="924"/>
      <c r="P25" s="924"/>
      <c r="Q25" s="925"/>
      <c r="R25" s="638">
        <f>SUM(C25:Q25)</f>
        <v>16344.628803419129</v>
      </c>
      <c r="S25" s="67"/>
    </row>
    <row r="26" spans="1:19" s="441" customFormat="1" ht="15.75" thickBot="1">
      <c r="A26" s="641" t="s">
        <v>865</v>
      </c>
      <c r="B26" s="757"/>
      <c r="C26" s="752">
        <f>SUM(C24:C25)</f>
        <v>5225.5268069685862</v>
      </c>
      <c r="D26" s="752">
        <f t="shared" ref="D26:R26" si="2">SUM(D24:D25)</f>
        <v>7270.7142857142862</v>
      </c>
      <c r="E26" s="752">
        <f t="shared" si="2"/>
        <v>13420.335352043945</v>
      </c>
      <c r="F26" s="752">
        <f t="shared" si="2"/>
        <v>5.4951686844432519</v>
      </c>
      <c r="G26" s="752">
        <f t="shared" si="2"/>
        <v>2284.9794976989124</v>
      </c>
      <c r="H26" s="752">
        <f t="shared" si="2"/>
        <v>0</v>
      </c>
      <c r="I26" s="752">
        <f t="shared" si="2"/>
        <v>0</v>
      </c>
      <c r="J26" s="752">
        <f t="shared" si="2"/>
        <v>0</v>
      </c>
      <c r="K26" s="752">
        <f t="shared" si="2"/>
        <v>61.710326301890873</v>
      </c>
      <c r="L26" s="752">
        <f t="shared" si="2"/>
        <v>0</v>
      </c>
      <c r="M26" s="752">
        <f t="shared" si="2"/>
        <v>0</v>
      </c>
      <c r="N26" s="752">
        <f t="shared" si="2"/>
        <v>0</v>
      </c>
      <c r="O26" s="752">
        <f t="shared" si="2"/>
        <v>0</v>
      </c>
      <c r="P26" s="752">
        <f t="shared" si="2"/>
        <v>0</v>
      </c>
      <c r="Q26" s="752">
        <f t="shared" si="2"/>
        <v>0</v>
      </c>
      <c r="R26" s="752">
        <f t="shared" si="2"/>
        <v>28268.761437412064</v>
      </c>
      <c r="S26" s="67"/>
    </row>
    <row r="27" spans="1:19" s="441" customFormat="1" ht="17.25" thickTop="1" thickBot="1">
      <c r="A27" s="642" t="s">
        <v>109</v>
      </c>
      <c r="B27" s="744"/>
      <c r="C27" s="643">
        <f ca="1">C22+C16+C26</f>
        <v>234518.2381891938</v>
      </c>
      <c r="D27" s="643">
        <f t="shared" ref="D27:R27" ca="1" si="3">D22+D16+D26</f>
        <v>7270.7142857142862</v>
      </c>
      <c r="E27" s="643">
        <f t="shared" ca="1" si="3"/>
        <v>291783.02474505029</v>
      </c>
      <c r="F27" s="643">
        <f t="shared" si="3"/>
        <v>7823.5283683773105</v>
      </c>
      <c r="G27" s="643">
        <f t="shared" ca="1" si="3"/>
        <v>127829.7126458836</v>
      </c>
      <c r="H27" s="643">
        <f t="shared" si="3"/>
        <v>473274.87495696702</v>
      </c>
      <c r="I27" s="643">
        <f t="shared" si="3"/>
        <v>84452.43157603794</v>
      </c>
      <c r="J27" s="643">
        <f t="shared" si="3"/>
        <v>0</v>
      </c>
      <c r="K27" s="643">
        <f t="shared" si="3"/>
        <v>2103.3979574204091</v>
      </c>
      <c r="L27" s="643">
        <f t="shared" si="3"/>
        <v>0</v>
      </c>
      <c r="M27" s="643">
        <f t="shared" ca="1" si="3"/>
        <v>0</v>
      </c>
      <c r="N27" s="643">
        <f t="shared" si="3"/>
        <v>24274.0952604716</v>
      </c>
      <c r="O27" s="643">
        <f t="shared" ca="1" si="3"/>
        <v>22908.895579020049</v>
      </c>
      <c r="P27" s="643">
        <f t="shared" si="3"/>
        <v>82.856666666666683</v>
      </c>
      <c r="Q27" s="643">
        <f t="shared" si="3"/>
        <v>286</v>
      </c>
      <c r="R27" s="643">
        <f t="shared" ca="1" si="3"/>
        <v>1276607.7702308029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22317.92980623477</v>
      </c>
      <c r="D40" s="635">
        <f ca="1">tertiair!C20</f>
        <v>0</v>
      </c>
      <c r="E40" s="635">
        <f ca="1">tertiair!D20</f>
        <v>16972.674686601069</v>
      </c>
      <c r="F40" s="635">
        <f>tertiair!E20</f>
        <v>484.61530436320714</v>
      </c>
      <c r="G40" s="635">
        <f ca="1">tertiair!F20</f>
        <v>5751.5614610702705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45526.781258269315</v>
      </c>
    </row>
    <row r="41" spans="1:18">
      <c r="A41" s="762" t="s">
        <v>214</v>
      </c>
      <c r="B41" s="769"/>
      <c r="C41" s="635">
        <f ca="1">huishoudens!B12</f>
        <v>13184.472483291682</v>
      </c>
      <c r="D41" s="635">
        <f ca="1">huishoudens!C12</f>
        <v>0</v>
      </c>
      <c r="E41" s="635">
        <f>huishoudens!D12</f>
        <v>32444.954746907475</v>
      </c>
      <c r="F41" s="635">
        <f>huishoudens!E12</f>
        <v>524.28261542862811</v>
      </c>
      <c r="G41" s="635">
        <f>huishoudens!F12</f>
        <v>21049.562773299363</v>
      </c>
      <c r="H41" s="635">
        <f>huishoudens!G12</f>
        <v>0</v>
      </c>
      <c r="I41" s="635">
        <f>huishoudens!H12</f>
        <v>0</v>
      </c>
      <c r="J41" s="635">
        <f>huishoudens!I12</f>
        <v>0</v>
      </c>
      <c r="K41" s="635">
        <f>huishoudens!J12</f>
        <v>628.42661642947667</v>
      </c>
      <c r="L41" s="635">
        <f>huishoudens!K12</f>
        <v>0</v>
      </c>
      <c r="M41" s="635">
        <f>huishoudens!L12</f>
        <v>0</v>
      </c>
      <c r="N41" s="635">
        <f>huishoudens!M12</f>
        <v>0</v>
      </c>
      <c r="O41" s="635">
        <f>huishoudens!N12</f>
        <v>0</v>
      </c>
      <c r="P41" s="635">
        <f>huishoudens!O12</f>
        <v>0</v>
      </c>
      <c r="Q41" s="710">
        <f>huishoudens!P12</f>
        <v>0</v>
      </c>
      <c r="R41" s="790">
        <f t="shared" ca="1" si="4"/>
        <v>67831.699235356631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12884.666376498599</v>
      </c>
      <c r="D43" s="635">
        <f ca="1">industrie!C22</f>
        <v>0</v>
      </c>
      <c r="E43" s="635">
        <f>industrie!D22</f>
        <v>6806.737571226834</v>
      </c>
      <c r="F43" s="635">
        <f>industrie!E22</f>
        <v>164.43672419728662</v>
      </c>
      <c r="G43" s="635">
        <f>industrie!F22</f>
        <v>6719.3195161956855</v>
      </c>
      <c r="H43" s="635">
        <f>industrie!G22</f>
        <v>0</v>
      </c>
      <c r="I43" s="635">
        <f>industrie!H22</f>
        <v>0</v>
      </c>
      <c r="J43" s="635">
        <f>industrie!I22</f>
        <v>0</v>
      </c>
      <c r="K43" s="635">
        <f>industrie!J22</f>
        <v>94.330804986478796</v>
      </c>
      <c r="L43" s="635">
        <f>industrie!K22</f>
        <v>0</v>
      </c>
      <c r="M43" s="635">
        <f>industrie!L22</f>
        <v>0</v>
      </c>
      <c r="N43" s="635">
        <f>industrie!M22</f>
        <v>0</v>
      </c>
      <c r="O43" s="635">
        <f>industrie!N22</f>
        <v>0</v>
      </c>
      <c r="P43" s="635">
        <f>industrie!O22</f>
        <v>0</v>
      </c>
      <c r="Q43" s="710">
        <f>industrie!P22</f>
        <v>0</v>
      </c>
      <c r="R43" s="789">
        <f t="shared" ca="1" si="4"/>
        <v>26669.490993104886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48387.06866602505</v>
      </c>
      <c r="D46" s="668">
        <f t="shared" ref="D46:Q46" ca="1" si="5">SUM(D39:D45)</f>
        <v>0</v>
      </c>
      <c r="E46" s="668">
        <f t="shared" ca="1" si="5"/>
        <v>56224.367004735373</v>
      </c>
      <c r="F46" s="668">
        <f t="shared" si="5"/>
        <v>1173.3346439891218</v>
      </c>
      <c r="G46" s="668">
        <f t="shared" ca="1" si="5"/>
        <v>33520.443750565319</v>
      </c>
      <c r="H46" s="668">
        <f t="shared" si="5"/>
        <v>0</v>
      </c>
      <c r="I46" s="668">
        <f t="shared" si="5"/>
        <v>0</v>
      </c>
      <c r="J46" s="668">
        <f t="shared" si="5"/>
        <v>0</v>
      </c>
      <c r="K46" s="668">
        <f t="shared" si="5"/>
        <v>722.75742141595549</v>
      </c>
      <c r="L46" s="668">
        <f t="shared" si="5"/>
        <v>0</v>
      </c>
      <c r="M46" s="668">
        <f t="shared" ca="1" si="5"/>
        <v>0</v>
      </c>
      <c r="N46" s="668">
        <f t="shared" si="5"/>
        <v>0</v>
      </c>
      <c r="O46" s="668">
        <f t="shared" ca="1" si="5"/>
        <v>0</v>
      </c>
      <c r="P46" s="668">
        <f t="shared" si="5"/>
        <v>0</v>
      </c>
      <c r="Q46" s="668">
        <f t="shared" si="5"/>
        <v>0</v>
      </c>
      <c r="R46" s="668">
        <f ca="1">SUM(R39:R45)</f>
        <v>140027.97148673082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4.1627525845108453</v>
      </c>
      <c r="D49" s="635">
        <f ca="1">transport!C58</f>
        <v>0</v>
      </c>
      <c r="E49" s="635">
        <f>transport!D58</f>
        <v>0</v>
      </c>
      <c r="F49" s="635">
        <f>transport!E58</f>
        <v>0</v>
      </c>
      <c r="G49" s="635">
        <f>transport!F58</f>
        <v>0</v>
      </c>
      <c r="H49" s="635">
        <f>transport!G58</f>
        <v>1142.4626774642038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1146.6254300487146</v>
      </c>
    </row>
    <row r="50" spans="1:18">
      <c r="A50" s="765" t="s">
        <v>296</v>
      </c>
      <c r="B50" s="775"/>
      <c r="C50" s="930">
        <f ca="1">transport!B18</f>
        <v>1.4453527158485497</v>
      </c>
      <c r="D50" s="930">
        <f>transport!C18</f>
        <v>0</v>
      </c>
      <c r="E50" s="930">
        <f>transport!D18</f>
        <v>4.8962526519004239</v>
      </c>
      <c r="F50" s="930">
        <f>transport!E18</f>
        <v>601.35889234115916</v>
      </c>
      <c r="G50" s="930">
        <f>transport!F18</f>
        <v>0</v>
      </c>
      <c r="H50" s="930">
        <f>transport!G18</f>
        <v>125221.928936046</v>
      </c>
      <c r="I50" s="930">
        <f>transport!H18</f>
        <v>21028.655462433446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146858.28489618836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5.6081053003593953</v>
      </c>
      <c r="D52" s="668">
        <f t="shared" ref="D52:Q52" ca="1" si="6">SUM(D48:D51)</f>
        <v>0</v>
      </c>
      <c r="E52" s="668">
        <f t="shared" si="6"/>
        <v>4.8962526519004239</v>
      </c>
      <c r="F52" s="668">
        <f t="shared" si="6"/>
        <v>601.35889234115916</v>
      </c>
      <c r="G52" s="668">
        <f t="shared" si="6"/>
        <v>0</v>
      </c>
      <c r="H52" s="668">
        <f t="shared" si="6"/>
        <v>126364.3916135102</v>
      </c>
      <c r="I52" s="668">
        <f t="shared" si="6"/>
        <v>21028.655462433446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148004.91032623706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128.70175672751327</v>
      </c>
      <c r="D54" s="930">
        <f ca="1">+landbouw!C12</f>
        <v>0</v>
      </c>
      <c r="E54" s="930">
        <f>+landbouw!D12</f>
        <v>341.66736531438158</v>
      </c>
      <c r="F54" s="930">
        <f>+landbouw!E12</f>
        <v>1.2474032913686182</v>
      </c>
      <c r="G54" s="930">
        <f>+landbouw!F12</f>
        <v>610.08952588560965</v>
      </c>
      <c r="H54" s="930">
        <f>+landbouw!G12</f>
        <v>0</v>
      </c>
      <c r="I54" s="930">
        <f>+landbouw!H12</f>
        <v>0</v>
      </c>
      <c r="J54" s="930">
        <f>+landbouw!I12</f>
        <v>0</v>
      </c>
      <c r="K54" s="930">
        <f>+landbouw!J12</f>
        <v>21.845455510869368</v>
      </c>
      <c r="L54" s="930">
        <f>+landbouw!K12</f>
        <v>0</v>
      </c>
      <c r="M54" s="930">
        <f>+landbouw!L12</f>
        <v>0</v>
      </c>
      <c r="N54" s="930">
        <f>+landbouw!M12</f>
        <v>0</v>
      </c>
      <c r="O54" s="930">
        <f>+landbouw!N12</f>
        <v>0</v>
      </c>
      <c r="P54" s="930">
        <f>+landbouw!O12</f>
        <v>0</v>
      </c>
      <c r="Q54" s="931">
        <f>+landbouw!P12</f>
        <v>0</v>
      </c>
      <c r="R54" s="667">
        <f ca="1">SUM(C54:Q54)</f>
        <v>1103.5515067297426</v>
      </c>
    </row>
    <row r="55" spans="1:18" ht="15" thickBot="1">
      <c r="A55" s="765" t="s">
        <v>864</v>
      </c>
      <c r="B55" s="775"/>
      <c r="C55" s="930">
        <f ca="1">C25*'EF ele_warmte'!B12</f>
        <v>974.15593205434652</v>
      </c>
      <c r="D55" s="930"/>
      <c r="E55" s="930">
        <f>E25*EF_CO2_aardgas</f>
        <v>2369.2403757984953</v>
      </c>
      <c r="F55" s="930"/>
      <c r="G55" s="930"/>
      <c r="H55" s="930"/>
      <c r="I55" s="930"/>
      <c r="J55" s="930"/>
      <c r="K55" s="930"/>
      <c r="L55" s="930"/>
      <c r="M55" s="930"/>
      <c r="N55" s="930"/>
      <c r="O55" s="930"/>
      <c r="P55" s="930"/>
      <c r="Q55" s="931"/>
      <c r="R55" s="667">
        <f ca="1">SUM(C55:Q55)</f>
        <v>3343.3963078528418</v>
      </c>
    </row>
    <row r="56" spans="1:18" ht="15.75" thickBot="1">
      <c r="A56" s="763" t="s">
        <v>865</v>
      </c>
      <c r="B56" s="776"/>
      <c r="C56" s="668">
        <f ca="1">SUM(C54:C55)</f>
        <v>1102.8576887818599</v>
      </c>
      <c r="D56" s="668">
        <f t="shared" ref="D56:Q56" ca="1" si="7">SUM(D54:D55)</f>
        <v>0</v>
      </c>
      <c r="E56" s="668">
        <f t="shared" si="7"/>
        <v>2710.9077411128769</v>
      </c>
      <c r="F56" s="668">
        <f t="shared" si="7"/>
        <v>1.2474032913686182</v>
      </c>
      <c r="G56" s="668">
        <f t="shared" si="7"/>
        <v>610.08952588560965</v>
      </c>
      <c r="H56" s="668">
        <f t="shared" si="7"/>
        <v>0</v>
      </c>
      <c r="I56" s="668">
        <f t="shared" si="7"/>
        <v>0</v>
      </c>
      <c r="J56" s="668">
        <f t="shared" si="7"/>
        <v>0</v>
      </c>
      <c r="K56" s="668">
        <f t="shared" si="7"/>
        <v>21.845455510869368</v>
      </c>
      <c r="L56" s="668">
        <f t="shared" si="7"/>
        <v>0</v>
      </c>
      <c r="M56" s="668">
        <f t="shared" si="7"/>
        <v>0</v>
      </c>
      <c r="N56" s="668">
        <f t="shared" si="7"/>
        <v>0</v>
      </c>
      <c r="O56" s="668">
        <f t="shared" si="7"/>
        <v>0</v>
      </c>
      <c r="P56" s="668">
        <f t="shared" si="7"/>
        <v>0</v>
      </c>
      <c r="Q56" s="669">
        <f t="shared" si="7"/>
        <v>0</v>
      </c>
      <c r="R56" s="670">
        <f ca="1">SUM(R54:R55)</f>
        <v>4446.9478145825842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49495.534460107272</v>
      </c>
      <c r="D61" s="676">
        <f t="shared" ref="D61:Q61" ca="1" si="8">D46+D52+D56</f>
        <v>0</v>
      </c>
      <c r="E61" s="676">
        <f t="shared" ca="1" si="8"/>
        <v>58940.170998500151</v>
      </c>
      <c r="F61" s="676">
        <f t="shared" si="8"/>
        <v>1775.9409396216495</v>
      </c>
      <c r="G61" s="676">
        <f t="shared" ca="1" si="8"/>
        <v>34130.533276450929</v>
      </c>
      <c r="H61" s="676">
        <f t="shared" si="8"/>
        <v>126364.3916135102</v>
      </c>
      <c r="I61" s="676">
        <f t="shared" si="8"/>
        <v>21028.655462433446</v>
      </c>
      <c r="J61" s="676">
        <f t="shared" si="8"/>
        <v>0</v>
      </c>
      <c r="K61" s="676">
        <f t="shared" si="8"/>
        <v>744.60287692682482</v>
      </c>
      <c r="L61" s="676">
        <f t="shared" si="8"/>
        <v>0</v>
      </c>
      <c r="M61" s="676">
        <f t="shared" ca="1" si="8"/>
        <v>0</v>
      </c>
      <c r="N61" s="676">
        <f t="shared" si="8"/>
        <v>0</v>
      </c>
      <c r="O61" s="676">
        <f t="shared" ca="1" si="8"/>
        <v>0</v>
      </c>
      <c r="P61" s="676">
        <f t="shared" si="8"/>
        <v>0</v>
      </c>
      <c r="Q61" s="676">
        <f t="shared" si="8"/>
        <v>0</v>
      </c>
      <c r="R61" s="676">
        <f ca="1">R46+R52+R56</f>
        <v>292479.82962755044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0.211051962705679</v>
      </c>
      <c r="D63" s="720">
        <f t="shared" ca="1" si="9"/>
        <v>0</v>
      </c>
      <c r="E63" s="932">
        <f t="shared" ca="1" si="9"/>
        <v>0.20199999999999996</v>
      </c>
      <c r="F63" s="720">
        <f t="shared" si="9"/>
        <v>0.22700000000000001</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2642.9898546116724</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2824.0539449565113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5089.5</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5987.6470588235297</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10556.543799568184</v>
      </c>
      <c r="C78" s="691">
        <f>SUM(C72:C77)</f>
        <v>0</v>
      </c>
      <c r="D78" s="692">
        <f t="shared" ref="D78:H78" si="10">SUM(D76:D77)</f>
        <v>0</v>
      </c>
      <c r="E78" s="692">
        <f t="shared" si="10"/>
        <v>0</v>
      </c>
      <c r="F78" s="692">
        <f t="shared" si="10"/>
        <v>0</v>
      </c>
      <c r="G78" s="692">
        <f t="shared" si="10"/>
        <v>0</v>
      </c>
      <c r="H78" s="692">
        <f t="shared" si="10"/>
        <v>0</v>
      </c>
      <c r="I78" s="692">
        <f>SUM(I76:I77)</f>
        <v>0</v>
      </c>
      <c r="J78" s="692">
        <f>SUM(J76:J77)</f>
        <v>5987.6470588235297</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7270.7142857142862</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8553.7815126050427</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7270.7142857142862</v>
      </c>
      <c r="C90" s="691">
        <f>SUM(C87:C89)</f>
        <v>0</v>
      </c>
      <c r="D90" s="691">
        <f t="shared" ref="D90:H90" si="12">SUM(D87:D89)</f>
        <v>0</v>
      </c>
      <c r="E90" s="691">
        <f t="shared" si="12"/>
        <v>0</v>
      </c>
      <c r="F90" s="691">
        <f t="shared" si="12"/>
        <v>0</v>
      </c>
      <c r="G90" s="691">
        <f t="shared" si="12"/>
        <v>0</v>
      </c>
      <c r="H90" s="691">
        <f t="shared" si="12"/>
        <v>0</v>
      </c>
      <c r="I90" s="691">
        <f>SUM(I87:I89)</f>
        <v>0</v>
      </c>
      <c r="J90" s="691">
        <f>SUM(J87:J89)</f>
        <v>8553.7815126050427</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62470.267105158338</v>
      </c>
      <c r="C4" s="445">
        <f>huishoudens!C8</f>
        <v>0</v>
      </c>
      <c r="D4" s="445">
        <f>huishoudens!D8</f>
        <v>160618.58785597759</v>
      </c>
      <c r="E4" s="445">
        <f>huishoudens!E8</f>
        <v>2309.6150459410928</v>
      </c>
      <c r="F4" s="445">
        <f>huishoudens!F8</f>
        <v>78837.313757675511</v>
      </c>
      <c r="G4" s="445">
        <f>huishoudens!G8</f>
        <v>0</v>
      </c>
      <c r="H4" s="445">
        <f>huishoudens!H8</f>
        <v>0</v>
      </c>
      <c r="I4" s="445">
        <f>huishoudens!I8</f>
        <v>0</v>
      </c>
      <c r="J4" s="445">
        <f>huishoudens!J8</f>
        <v>1775.216430591742</v>
      </c>
      <c r="K4" s="445">
        <f>huishoudens!K8</f>
        <v>0</v>
      </c>
      <c r="L4" s="445">
        <f>huishoudens!L8</f>
        <v>0</v>
      </c>
      <c r="M4" s="445">
        <f>huishoudens!M8</f>
        <v>0</v>
      </c>
      <c r="N4" s="445">
        <f>huishoudens!N8</f>
        <v>17861.199577219515</v>
      </c>
      <c r="O4" s="445">
        <f>huishoudens!O8</f>
        <v>82.856666666666683</v>
      </c>
      <c r="P4" s="446">
        <f>huishoudens!P8</f>
        <v>228.8</v>
      </c>
      <c r="Q4" s="447">
        <f>SUM(B4:P4)</f>
        <v>324183.85643923044</v>
      </c>
    </row>
    <row r="5" spans="1:17">
      <c r="A5" s="444" t="s">
        <v>149</v>
      </c>
      <c r="B5" s="445">
        <f ca="1">tertiair!B16</f>
        <v>102812.37320772681</v>
      </c>
      <c r="C5" s="445">
        <f ca="1">tertiair!C16</f>
        <v>0</v>
      </c>
      <c r="D5" s="445">
        <f ca="1">tertiair!D16</f>
        <v>84023.142012876575</v>
      </c>
      <c r="E5" s="445">
        <f>tertiair!E16</f>
        <v>2134.8691822167716</v>
      </c>
      <c r="F5" s="445">
        <f ca="1">tertiair!F16</f>
        <v>21541.428693147078</v>
      </c>
      <c r="G5" s="445">
        <f>tertiair!G16</f>
        <v>0</v>
      </c>
      <c r="H5" s="445">
        <f>tertiair!H16</f>
        <v>0</v>
      </c>
      <c r="I5" s="445">
        <f>tertiair!I16</f>
        <v>0</v>
      </c>
      <c r="J5" s="445">
        <f>tertiair!J16</f>
        <v>0</v>
      </c>
      <c r="K5" s="445">
        <f>tertiair!K16</f>
        <v>0</v>
      </c>
      <c r="L5" s="445">
        <f ca="1">tertiair!L16</f>
        <v>0</v>
      </c>
      <c r="M5" s="445">
        <f>tertiair!M16</f>
        <v>0</v>
      </c>
      <c r="N5" s="445">
        <f ca="1">tertiair!N16</f>
        <v>2701.1524671641346</v>
      </c>
      <c r="O5" s="445">
        <f>tertiair!O16</f>
        <v>0</v>
      </c>
      <c r="P5" s="446">
        <f>tertiair!P16</f>
        <v>57.2</v>
      </c>
      <c r="Q5" s="444">
        <f t="shared" ref="Q5:Q14" ca="1" si="0">SUM(B5:P5)</f>
        <v>213270.16556313136</v>
      </c>
    </row>
    <row r="6" spans="1:17">
      <c r="A6" s="444" t="s">
        <v>187</v>
      </c>
      <c r="B6" s="445">
        <f>'openbare verlichting'!B8</f>
        <v>2933.7640000000001</v>
      </c>
      <c r="C6" s="445"/>
      <c r="D6" s="445"/>
      <c r="E6" s="445"/>
      <c r="F6" s="445"/>
      <c r="G6" s="445"/>
      <c r="H6" s="445"/>
      <c r="I6" s="445"/>
      <c r="J6" s="445"/>
      <c r="K6" s="445"/>
      <c r="L6" s="445"/>
      <c r="M6" s="445"/>
      <c r="N6" s="445"/>
      <c r="O6" s="445"/>
      <c r="P6" s="446"/>
      <c r="Q6" s="444">
        <f t="shared" si="0"/>
        <v>2933.7640000000001</v>
      </c>
    </row>
    <row r="7" spans="1:17">
      <c r="A7" s="444" t="s">
        <v>105</v>
      </c>
      <c r="B7" s="445">
        <f>landbouw!B8</f>
        <v>609.81075502715601</v>
      </c>
      <c r="C7" s="445">
        <f>landbouw!C8</f>
        <v>7270.7142857142862</v>
      </c>
      <c r="D7" s="445">
        <f>landbouw!D8</f>
        <v>1691.4226005662454</v>
      </c>
      <c r="E7" s="445">
        <f>landbouw!E8</f>
        <v>5.4951686844432519</v>
      </c>
      <c r="F7" s="445">
        <f>landbouw!F8</f>
        <v>2284.9794976989124</v>
      </c>
      <c r="G7" s="445">
        <f>landbouw!G8</f>
        <v>0</v>
      </c>
      <c r="H7" s="445">
        <f>landbouw!H8</f>
        <v>0</v>
      </c>
      <c r="I7" s="445">
        <f>landbouw!I8</f>
        <v>0</v>
      </c>
      <c r="J7" s="445">
        <f>landbouw!J8</f>
        <v>61.710326301890873</v>
      </c>
      <c r="K7" s="445">
        <f>landbouw!K8</f>
        <v>0</v>
      </c>
      <c r="L7" s="445">
        <f>landbouw!L8</f>
        <v>0</v>
      </c>
      <c r="M7" s="445">
        <f>landbouw!M8</f>
        <v>0</v>
      </c>
      <c r="N7" s="445">
        <f>landbouw!N8</f>
        <v>0</v>
      </c>
      <c r="O7" s="445">
        <f>landbouw!O8</f>
        <v>0</v>
      </c>
      <c r="P7" s="446">
        <f>landbouw!P8</f>
        <v>0</v>
      </c>
      <c r="Q7" s="444">
        <f t="shared" si="0"/>
        <v>11924.132633992935</v>
      </c>
    </row>
    <row r="8" spans="1:17">
      <c r="A8" s="444" t="s">
        <v>613</v>
      </c>
      <c r="B8" s="445">
        <f>industrie!B18</f>
        <v>61049.734915125235</v>
      </c>
      <c r="C8" s="445">
        <f>industrie!C18</f>
        <v>0</v>
      </c>
      <c r="D8" s="445">
        <f>industrie!D18</f>
        <v>33696.720649637791</v>
      </c>
      <c r="E8" s="445">
        <f>industrie!E18</f>
        <v>724.39085549465472</v>
      </c>
      <c r="F8" s="445">
        <f>industrie!F18</f>
        <v>25165.990697362118</v>
      </c>
      <c r="G8" s="445">
        <f>industrie!G18</f>
        <v>0</v>
      </c>
      <c r="H8" s="445">
        <f>industrie!H18</f>
        <v>0</v>
      </c>
      <c r="I8" s="445">
        <f>industrie!I18</f>
        <v>0</v>
      </c>
      <c r="J8" s="445">
        <f>industrie!J18</f>
        <v>266.47120052677627</v>
      </c>
      <c r="K8" s="445">
        <f>industrie!K18</f>
        <v>0</v>
      </c>
      <c r="L8" s="445">
        <f>industrie!L18</f>
        <v>0</v>
      </c>
      <c r="M8" s="445">
        <f>industrie!M18</f>
        <v>0</v>
      </c>
      <c r="N8" s="445">
        <f>industrie!N18</f>
        <v>2346.5435346363997</v>
      </c>
      <c r="O8" s="445">
        <f>industrie!O18</f>
        <v>0</v>
      </c>
      <c r="P8" s="446">
        <f>industrie!P18</f>
        <v>0</v>
      </c>
      <c r="Q8" s="444">
        <f t="shared" si="0"/>
        <v>123249.85185278296</v>
      </c>
    </row>
    <row r="9" spans="1:17" s="450" customFormat="1">
      <c r="A9" s="448" t="s">
        <v>555</v>
      </c>
      <c r="B9" s="449">
        <f>transport!B14</f>
        <v>6.8483263425706973</v>
      </c>
      <c r="C9" s="449">
        <f>transport!C14</f>
        <v>0</v>
      </c>
      <c r="D9" s="449">
        <f>transport!D14</f>
        <v>24.238874514358532</v>
      </c>
      <c r="E9" s="449">
        <f>transport!E14</f>
        <v>2649.1581160403484</v>
      </c>
      <c r="F9" s="449">
        <f>transport!F14</f>
        <v>0</v>
      </c>
      <c r="G9" s="449">
        <f>transport!G14</f>
        <v>468995.98852451681</v>
      </c>
      <c r="H9" s="449">
        <f>transport!H14</f>
        <v>84452.43157603794</v>
      </c>
      <c r="I9" s="449">
        <f>transport!I14</f>
        <v>0</v>
      </c>
      <c r="J9" s="449">
        <f>transport!J14</f>
        <v>0</v>
      </c>
      <c r="K9" s="449">
        <f>transport!K14</f>
        <v>0</v>
      </c>
      <c r="L9" s="449">
        <f>transport!L14</f>
        <v>0</v>
      </c>
      <c r="M9" s="449">
        <f>transport!M14</f>
        <v>24090.889779702433</v>
      </c>
      <c r="N9" s="449">
        <f>transport!N14</f>
        <v>0</v>
      </c>
      <c r="O9" s="449">
        <f>transport!O14</f>
        <v>0</v>
      </c>
      <c r="P9" s="449">
        <f>transport!P14</f>
        <v>0</v>
      </c>
      <c r="Q9" s="448">
        <f>SUM(B9:P9)</f>
        <v>580219.5551971544</v>
      </c>
    </row>
    <row r="10" spans="1:17">
      <c r="A10" s="444" t="s">
        <v>545</v>
      </c>
      <c r="B10" s="445">
        <f>transport!B54</f>
        <v>19.723827872266618</v>
      </c>
      <c r="C10" s="445">
        <f>transport!C54</f>
        <v>0</v>
      </c>
      <c r="D10" s="445">
        <f>transport!D54</f>
        <v>0</v>
      </c>
      <c r="E10" s="445">
        <f>transport!E54</f>
        <v>0</v>
      </c>
      <c r="F10" s="445">
        <f>transport!F54</f>
        <v>0</v>
      </c>
      <c r="G10" s="445">
        <f>transport!G54</f>
        <v>4278.886432450201</v>
      </c>
      <c r="H10" s="445">
        <f>transport!H54</f>
        <v>0</v>
      </c>
      <c r="I10" s="445">
        <f>transport!I54</f>
        <v>0</v>
      </c>
      <c r="J10" s="445">
        <f>transport!J54</f>
        <v>0</v>
      </c>
      <c r="K10" s="445">
        <f>transport!K54</f>
        <v>0</v>
      </c>
      <c r="L10" s="445">
        <f>transport!L54</f>
        <v>0</v>
      </c>
      <c r="M10" s="445">
        <f>transport!M54</f>
        <v>183.20548076916916</v>
      </c>
      <c r="N10" s="445">
        <f>transport!N54</f>
        <v>0</v>
      </c>
      <c r="O10" s="445">
        <f>transport!O54</f>
        <v>0</v>
      </c>
      <c r="P10" s="446">
        <f>transport!P54</f>
        <v>0</v>
      </c>
      <c r="Q10" s="444">
        <f t="shared" si="0"/>
        <v>4481.8157410916374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4615.7160519414301</v>
      </c>
      <c r="C14" s="452"/>
      <c r="D14" s="452">
        <f>'SEAP template'!E25</f>
        <v>11728.912751477699</v>
      </c>
      <c r="E14" s="452"/>
      <c r="F14" s="452"/>
      <c r="G14" s="452"/>
      <c r="H14" s="452"/>
      <c r="I14" s="452"/>
      <c r="J14" s="452"/>
      <c r="K14" s="452"/>
      <c r="L14" s="452"/>
      <c r="M14" s="452"/>
      <c r="N14" s="452"/>
      <c r="O14" s="452"/>
      <c r="P14" s="453"/>
      <c r="Q14" s="444">
        <f t="shared" si="0"/>
        <v>16344.628803419129</v>
      </c>
    </row>
    <row r="15" spans="1:17" s="457" customFormat="1">
      <c r="A15" s="454" t="s">
        <v>549</v>
      </c>
      <c r="B15" s="455">
        <f ca="1">SUM(B4:B14)</f>
        <v>234518.2381891938</v>
      </c>
      <c r="C15" s="455">
        <f t="shared" ref="C15:Q15" ca="1" si="1">SUM(C4:C14)</f>
        <v>7270.7142857142862</v>
      </c>
      <c r="D15" s="455">
        <f t="shared" ca="1" si="1"/>
        <v>291783.02474505024</v>
      </c>
      <c r="E15" s="455">
        <f t="shared" si="1"/>
        <v>7823.5283683773105</v>
      </c>
      <c r="F15" s="455">
        <f t="shared" ca="1" si="1"/>
        <v>127829.71264588361</v>
      </c>
      <c r="G15" s="455">
        <f t="shared" si="1"/>
        <v>473274.87495696702</v>
      </c>
      <c r="H15" s="455">
        <f t="shared" si="1"/>
        <v>84452.43157603794</v>
      </c>
      <c r="I15" s="455">
        <f t="shared" si="1"/>
        <v>0</v>
      </c>
      <c r="J15" s="455">
        <f t="shared" si="1"/>
        <v>2103.3979574204091</v>
      </c>
      <c r="K15" s="455">
        <f t="shared" si="1"/>
        <v>0</v>
      </c>
      <c r="L15" s="455">
        <f t="shared" ca="1" si="1"/>
        <v>0</v>
      </c>
      <c r="M15" s="455">
        <f t="shared" si="1"/>
        <v>24274.0952604716</v>
      </c>
      <c r="N15" s="455">
        <f t="shared" ca="1" si="1"/>
        <v>22908.895579020049</v>
      </c>
      <c r="O15" s="455">
        <f t="shared" si="1"/>
        <v>82.856666666666683</v>
      </c>
      <c r="P15" s="455">
        <f t="shared" si="1"/>
        <v>286</v>
      </c>
      <c r="Q15" s="455">
        <f t="shared" ca="1" si="1"/>
        <v>1276607.7702308032</v>
      </c>
    </row>
    <row r="17" spans="1:17">
      <c r="A17" s="458" t="s">
        <v>550</v>
      </c>
      <c r="B17" s="725">
        <f ca="1">huishoudens!B10</f>
        <v>0.21105196270567897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13184.472483291682</v>
      </c>
      <c r="C22" s="445">
        <f t="shared" ref="C22:C32" ca="1" si="3">C4*$C$17</f>
        <v>0</v>
      </c>
      <c r="D22" s="445">
        <f t="shared" ref="D22:D32" si="4">D4*$D$17</f>
        <v>32444.954746907475</v>
      </c>
      <c r="E22" s="445">
        <f t="shared" ref="E22:E32" si="5">E4*$E$17</f>
        <v>524.28261542862811</v>
      </c>
      <c r="F22" s="445">
        <f t="shared" ref="F22:F32" si="6">F4*$F$17</f>
        <v>21049.562773299363</v>
      </c>
      <c r="G22" s="445">
        <f t="shared" ref="G22:G32" si="7">G4*$G$17</f>
        <v>0</v>
      </c>
      <c r="H22" s="445">
        <f t="shared" ref="H22:H32" si="8">H4*$H$17</f>
        <v>0</v>
      </c>
      <c r="I22" s="445">
        <f t="shared" ref="I22:I32" si="9">I4*$I$17</f>
        <v>0</v>
      </c>
      <c r="J22" s="445">
        <f t="shared" ref="J22:J32" si="10">J4*$J$17</f>
        <v>628.42661642947667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67831.699235356631</v>
      </c>
    </row>
    <row r="23" spans="1:17">
      <c r="A23" s="444" t="s">
        <v>149</v>
      </c>
      <c r="B23" s="445">
        <f t="shared" ca="1" si="2"/>
        <v>21698.753155919505</v>
      </c>
      <c r="C23" s="445">
        <f t="shared" ca="1" si="3"/>
        <v>0</v>
      </c>
      <c r="D23" s="445">
        <f t="shared" ca="1" si="4"/>
        <v>16972.674686601069</v>
      </c>
      <c r="E23" s="445">
        <f t="shared" si="5"/>
        <v>484.61530436320714</v>
      </c>
      <c r="F23" s="445">
        <f t="shared" ca="1" si="6"/>
        <v>5751.5614610702705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44907.604607954047</v>
      </c>
    </row>
    <row r="24" spans="1:17">
      <c r="A24" s="444" t="s">
        <v>187</v>
      </c>
      <c r="B24" s="445">
        <f t="shared" ca="1" si="2"/>
        <v>619.1766503152636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619.1766503152636</v>
      </c>
    </row>
    <row r="25" spans="1:17">
      <c r="A25" s="444" t="s">
        <v>105</v>
      </c>
      <c r="B25" s="445">
        <f t="shared" ca="1" si="2"/>
        <v>128.70175672751327</v>
      </c>
      <c r="C25" s="445">
        <f t="shared" ca="1" si="3"/>
        <v>0</v>
      </c>
      <c r="D25" s="445">
        <f t="shared" si="4"/>
        <v>341.66736531438158</v>
      </c>
      <c r="E25" s="445">
        <f t="shared" si="5"/>
        <v>1.2474032913686182</v>
      </c>
      <c r="F25" s="445">
        <f t="shared" si="6"/>
        <v>610.08952588560965</v>
      </c>
      <c r="G25" s="445">
        <f t="shared" si="7"/>
        <v>0</v>
      </c>
      <c r="H25" s="445">
        <f t="shared" si="8"/>
        <v>0</v>
      </c>
      <c r="I25" s="445">
        <f t="shared" si="9"/>
        <v>0</v>
      </c>
      <c r="J25" s="445">
        <f t="shared" si="10"/>
        <v>21.845455510869368</v>
      </c>
      <c r="K25" s="445">
        <f t="shared" si="11"/>
        <v>0</v>
      </c>
      <c r="L25" s="445">
        <f t="shared" si="12"/>
        <v>0</v>
      </c>
      <c r="M25" s="445">
        <f t="shared" si="13"/>
        <v>0</v>
      </c>
      <c r="N25" s="445">
        <f t="shared" si="14"/>
        <v>0</v>
      </c>
      <c r="O25" s="445">
        <f t="shared" si="15"/>
        <v>0</v>
      </c>
      <c r="P25" s="446">
        <f t="shared" si="16"/>
        <v>0</v>
      </c>
      <c r="Q25" s="444">
        <f t="shared" ca="1" si="17"/>
        <v>1103.5515067297426</v>
      </c>
    </row>
    <row r="26" spans="1:17">
      <c r="A26" s="444" t="s">
        <v>613</v>
      </c>
      <c r="B26" s="445">
        <f t="shared" ca="1" si="2"/>
        <v>12884.666376498599</v>
      </c>
      <c r="C26" s="445">
        <f t="shared" ca="1" si="3"/>
        <v>0</v>
      </c>
      <c r="D26" s="445">
        <f t="shared" si="4"/>
        <v>6806.737571226834</v>
      </c>
      <c r="E26" s="445">
        <f t="shared" si="5"/>
        <v>164.43672419728662</v>
      </c>
      <c r="F26" s="445">
        <f t="shared" si="6"/>
        <v>6719.3195161956855</v>
      </c>
      <c r="G26" s="445">
        <f t="shared" si="7"/>
        <v>0</v>
      </c>
      <c r="H26" s="445">
        <f t="shared" si="8"/>
        <v>0</v>
      </c>
      <c r="I26" s="445">
        <f t="shared" si="9"/>
        <v>0</v>
      </c>
      <c r="J26" s="445">
        <f t="shared" si="10"/>
        <v>94.330804986478796</v>
      </c>
      <c r="K26" s="445">
        <f t="shared" si="11"/>
        <v>0</v>
      </c>
      <c r="L26" s="445">
        <f t="shared" si="12"/>
        <v>0</v>
      </c>
      <c r="M26" s="445">
        <f t="shared" si="13"/>
        <v>0</v>
      </c>
      <c r="N26" s="445">
        <f t="shared" si="14"/>
        <v>0</v>
      </c>
      <c r="O26" s="445">
        <f t="shared" si="15"/>
        <v>0</v>
      </c>
      <c r="P26" s="446">
        <f t="shared" si="16"/>
        <v>0</v>
      </c>
      <c r="Q26" s="444">
        <f t="shared" ca="1" si="17"/>
        <v>26669.490993104886</v>
      </c>
    </row>
    <row r="27" spans="1:17" s="450" customFormat="1">
      <c r="A27" s="448" t="s">
        <v>555</v>
      </c>
      <c r="B27" s="719">
        <f t="shared" ca="1" si="2"/>
        <v>1.4453527158485497</v>
      </c>
      <c r="C27" s="449">
        <f t="shared" ca="1" si="3"/>
        <v>0</v>
      </c>
      <c r="D27" s="449">
        <f t="shared" si="4"/>
        <v>4.8962526519004239</v>
      </c>
      <c r="E27" s="449">
        <f t="shared" si="5"/>
        <v>601.35889234115916</v>
      </c>
      <c r="F27" s="449">
        <f t="shared" si="6"/>
        <v>0</v>
      </c>
      <c r="G27" s="449">
        <f t="shared" si="7"/>
        <v>125221.928936046</v>
      </c>
      <c r="H27" s="449">
        <f t="shared" si="8"/>
        <v>21028.655462433446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146858.28489618836</v>
      </c>
    </row>
    <row r="28" spans="1:17">
      <c r="A28" s="444" t="s">
        <v>545</v>
      </c>
      <c r="B28" s="445">
        <f t="shared" ca="1" si="2"/>
        <v>4.1627525845108453</v>
      </c>
      <c r="C28" s="445">
        <f t="shared" ca="1" si="3"/>
        <v>0</v>
      </c>
      <c r="D28" s="445">
        <f t="shared" si="4"/>
        <v>0</v>
      </c>
      <c r="E28" s="445">
        <f t="shared" si="5"/>
        <v>0</v>
      </c>
      <c r="F28" s="445">
        <f t="shared" si="6"/>
        <v>0</v>
      </c>
      <c r="G28" s="445">
        <f t="shared" si="7"/>
        <v>1142.4626774642038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1146.6254300487146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974.15593205434652</v>
      </c>
      <c r="C32" s="445">
        <f t="shared" ca="1" si="3"/>
        <v>0</v>
      </c>
      <c r="D32" s="445">
        <f t="shared" si="4"/>
        <v>2369.2403757984953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3343.3963078528418</v>
      </c>
    </row>
    <row r="33" spans="1:17" s="457" customFormat="1">
      <c r="A33" s="454" t="s">
        <v>549</v>
      </c>
      <c r="B33" s="455">
        <f ca="1">SUM(B22:B32)</f>
        <v>49495.534460107265</v>
      </c>
      <c r="C33" s="455">
        <f t="shared" ref="C33:Q33" ca="1" si="19">SUM(C22:C32)</f>
        <v>0</v>
      </c>
      <c r="D33" s="455">
        <f t="shared" ca="1" si="19"/>
        <v>58940.170998500151</v>
      </c>
      <c r="E33" s="455">
        <f t="shared" si="19"/>
        <v>1775.9409396216497</v>
      </c>
      <c r="F33" s="455">
        <f t="shared" ca="1" si="19"/>
        <v>34130.533276450929</v>
      </c>
      <c r="G33" s="455">
        <f t="shared" si="19"/>
        <v>126364.3916135102</v>
      </c>
      <c r="H33" s="455">
        <f t="shared" si="19"/>
        <v>21028.655462433446</v>
      </c>
      <c r="I33" s="455">
        <f t="shared" si="19"/>
        <v>0</v>
      </c>
      <c r="J33" s="455">
        <f t="shared" si="19"/>
        <v>744.60287692682482</v>
      </c>
      <c r="K33" s="455">
        <f t="shared" si="19"/>
        <v>0</v>
      </c>
      <c r="L33" s="455">
        <f t="shared" ca="1" si="19"/>
        <v>0</v>
      </c>
      <c r="M33" s="455">
        <f t="shared" si="19"/>
        <v>0</v>
      </c>
      <c r="N33" s="455">
        <f t="shared" ca="1" si="19"/>
        <v>0</v>
      </c>
      <c r="O33" s="455">
        <f t="shared" si="19"/>
        <v>0</v>
      </c>
      <c r="P33" s="455">
        <f t="shared" si="19"/>
        <v>0</v>
      </c>
      <c r="Q33" s="455">
        <f t="shared" ca="1" si="19"/>
        <v>292479.8296275505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2642.9898546116724</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2824.0539449565113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5089.5</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5987.6470588235297</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10556.543799568184</v>
      </c>
      <c r="C10" s="967">
        <f>SUM(C4:C9)</f>
        <v>0</v>
      </c>
      <c r="D10" s="967">
        <f t="shared" ref="D10:H10" si="0">SUM(D8:D9)</f>
        <v>0</v>
      </c>
      <c r="E10" s="967">
        <f t="shared" si="0"/>
        <v>0</v>
      </c>
      <c r="F10" s="967">
        <f t="shared" si="0"/>
        <v>0</v>
      </c>
      <c r="G10" s="967">
        <f t="shared" si="0"/>
        <v>0</v>
      </c>
      <c r="H10" s="967">
        <f t="shared" si="0"/>
        <v>0</v>
      </c>
      <c r="I10" s="967">
        <f>SUM(I8:I9)</f>
        <v>0</v>
      </c>
      <c r="J10" s="967">
        <f>SUM(J8:J9)</f>
        <v>5987.6470588235297</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0.21105196270567897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7270.7142857142862</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8553.7815126050427</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7270.7142857142862</v>
      </c>
      <c r="C20" s="967">
        <f>SUM(C17:C19)</f>
        <v>0</v>
      </c>
      <c r="D20" s="967">
        <f t="shared" ref="D20:H20" si="2">SUM(D17:D19)</f>
        <v>0</v>
      </c>
      <c r="E20" s="967">
        <f t="shared" si="2"/>
        <v>0</v>
      </c>
      <c r="F20" s="967">
        <f t="shared" si="2"/>
        <v>0</v>
      </c>
      <c r="G20" s="967">
        <f t="shared" si="2"/>
        <v>0</v>
      </c>
      <c r="H20" s="967">
        <f t="shared" si="2"/>
        <v>0</v>
      </c>
      <c r="I20" s="967">
        <f>SUM(I17:I19)</f>
        <v>0</v>
      </c>
      <c r="J20" s="967">
        <f>SUM(J17:J19)</f>
        <v>8553.7815126050427</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0.21105196270567897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2022-07-26T12:48:40Z</dcterms:modified>
</cp:coreProperties>
</file>