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02B7EA3-022D-4DB1-B086-1B719923EC0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<sst xmlns="http://schemas.openxmlformats.org/spreadsheetml/2006/main" count="2523" uniqueCount="968">
  <si>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</si>
  <si>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</si>
  <si>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</si>
  <si>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</si>
  <si>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</si>
  <si>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</si>
  <si>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</si>
  <si>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</si>
  <si>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</si>
  <si>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</si>
  <si>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</si>
  <si>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</si>
  <si>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</si>
  <si>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</si>
  <si>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</si>
  <si>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</si>
  <si>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</si>
  <si>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</si>
  <si>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</si>
  <si>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</si>
  <si>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</si>
  <si>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</si>
  <si>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</si>
  <si>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</si>
  <si>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</si>
  <si>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</si>
  <si>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</si>
  <si>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</si>
  <si>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</si>
  <si>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</si>
  <si>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</si>
  <si>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</si>
  <si>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</si>
  <si>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</si>
  <si>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</si>
  <si>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</si>
  <si>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</si>
  <si>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</si>
  <si>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</si>
  <si>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</si>
  <si>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</si>
  <si>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</si>
  <si>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</si>
  <si>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</si>
  <si>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</si>
  <si>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</si>
  <si>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</si>
  <si>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</si>
  <si>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</si>
  <si>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</si>
  <si>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</si>
  <si>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</si>
  <si>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</si>
  <si>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</si>
  <si>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</si>
  <si>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</si>
  <si>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</si>
  <si>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</si>
  <si>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</si>
  <si>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</si>
  <si>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</si>
  <si>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</si>
  <si>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</si>
  <si>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</si>
  <si>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</si>
  <si>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</si>
  <si>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</si>
  <si>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</si>
  <si>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</si>
  <si>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</si>
  <si>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</si>
  <si>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</si>
  <si>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</si>
  <si>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</si>
  <si>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</si>
  <si>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</si>
  <si>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</si>
  <si>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</si>
  <si>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</si>
  <si>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</si>
  <si>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</si>
  <si>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</si>
  <si>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</si>
  <si>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</si>
  <si>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</si>
  <si>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</si>
  <si>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</si>
  <si>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</si>
  <si>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</si>
  <si>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</si>
  <si>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</si>
  <si>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</si>
  <si>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</si>
  <si>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</si>
  <si>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</si>
  <si>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</si>
  <si>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</si>
  <si>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</si>
  <si>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</si>
  <si>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</si>
  <si>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</si>
  <si>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</si>
  <si>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</si>
  <si>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</si>
  <si>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</si>
  <si>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</si>
  <si>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</si>
  <si>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</si>
  <si>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</si>
  <si>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</si>
  <si>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</si>
  <si>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</si>
  <si>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</si>
  <si>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</si>
  <si>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</si>
  <si>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</si>
  <si>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</si>
  <si>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</si>
  <si>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</si>
  <si>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</si>
  <si>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</si>
  <si>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</si>
  <si>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</si>
  <si>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</si>
  <si>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</si>
  <si>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</si>
  <si>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</si>
  <si>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</si>
  <si>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</si>
  <si>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</si>
  <si>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</si>
  <si>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</si>
  <si>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</si>
  <si>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</si>
  <si>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</si>
  <si>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</si>
  <si>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</si>
  <si>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</si>
  <si>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</si>
  <si>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</si>
  <si>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</si>
  <si>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</si>
  <si>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</si>
  <si>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</si>
  <si>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</si>
  <si>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</si>
  <si>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</si>
  <si>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</si>
  <si>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</si>
  <si>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</si>
  <si>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</si>
  <si>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</si>
  <si>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</si>
  <si>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</si>
  <si>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</si>
  <si>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</si>
  <si>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</si>
  <si>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</si>
  <si>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</si>
  <si>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</si>
  <si>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</si>
  <si>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</si>
  <si>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</si>
  <si>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</si>
  <si>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</si>
  <si>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</si>
  <si>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</si>
  <si>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</si>
  <si>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</si>
  <si>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</si>
  <si>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</si>
  <si>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</si>
  <si>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</si>
  <si>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</si>
  <si>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</si>
  <si>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</si>
  <si>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</si>
  <si>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</si>
  <si>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</si>
  <si>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</si>
  <si>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</si>
  <si>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</si>
  <si>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</si>
  <si>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</si>
  <si>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</si>
  <si>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</si>
  <si>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</si>
  <si>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</si>
  <si>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</si>
  <si>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</si>
  <si>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</si>
  <si>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</si>
  <si>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</si>
  <si>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</si>
  <si>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</si>
  <si>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</si>
  <si>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</si>
  <si>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</si>
  <si>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</si>
  <si>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</si>
  <si>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</si>
  <si>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</si>
  <si>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</si>
  <si>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</si>
  <si>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</si>
  <si>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</si>
  <si>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</si>
  <si>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</si>
  <si>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</si>
  <si>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</si>
  <si>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</si>
  <si>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</si>
  <si>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</si>
  <si>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</si>
  <si>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</si>
  <si>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</si>
  <si>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</si>
  <si>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</si>
  <si>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</si>
  <si>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</si>
  <si>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</si>
  <si>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</si>
  <si>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</si>
  <si>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</si>
  <si>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</si>
  <si>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</si>
  <si>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</si>
  <si>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</si>
  <si>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</si>
  <si>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</si>
  <si>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</si>
  <si>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</si>
  <si>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</si>
  <si>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</si>
  <si>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</si>
  <si>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</si>
  <si>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</si>
  <si>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</si>
  <si>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</si>
  <si>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</si>
  <si>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</si>
  <si>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</si>
  <si>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</si>
  <si>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</si>
  <si>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</si>
  <si>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</si>
  <si>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</si>
  <si>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</si>
  <si>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</si>
  <si>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</si>
  <si>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</si>
  <si>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</si>
  <si>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</si>
  <si>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</si>
  <si>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</si>
  <si>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</si>
  <si>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</si>
  <si>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</si>
  <si>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</si>
  <si>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</si>
  <si>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</si>
  <si>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</si>
  <si>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</si>
  <si>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</si>
  <si>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</si>
  <si>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</si>
  <si>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</si>
  <si>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</si>
  <si>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</si>
  <si>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</si>
  <si>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</si>
  <si>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</si>
  <si>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</si>
  <si>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</si>
  <si>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</si>
  <si>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</si>
  <si>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</si>
  <si>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</si>
  <si>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</si>
  <si>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</si>
  <si>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</si>
  <si>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</si>
  <si>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</si>
  <si>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</si>
  <si>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</si>
  <si>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</si>
  <si>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</si>
  <si>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</si>
  <si>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</si>
  <si>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</si>
  <si>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</si>
  <si>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</si>
  <si>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</si>
  <si>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</si>
  <si>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</si>
  <si>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</si>
  <si>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</si>
  <si>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</si>
  <si>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</si>
  <si>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</si>
  <si>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</si>
  <si>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</si>
  <si>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</si>
  <si>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</si>
  <si>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</si>
  <si>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</si>
  <si>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</si>
  <si>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</si>
  <si>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</si>
  <si>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</si>
  <si>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</si>
  <si>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</si>
  <si>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</si>
  <si>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</si>
  <si>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</si>
  <si>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</si>
  <si>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</si>
  <si>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</si>
  <si>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</si>
  <si>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</si>
  <si>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</si>
  <si>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</si>
  <si>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</si>
  <si>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</si>
  <si>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</si>
  <si>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</si>
  <si>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</si>
  <si>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</si>
  <si>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</si>
  <si>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</si>
  <si>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</si>
  <si>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</si>
  <si>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</si>
  <si>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</si>
  <si>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</si>
  <si>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</si>
  <si>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</si>
  <si>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</si>
  <si>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</si>
  <si>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</si>
  <si>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</si>
  <si>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</si>
  <si>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</si>
  <si>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</si>
  <si>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</si>
  <si>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</si>
  <si>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</si>
  <si>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</si>
  <si>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</si>
  <si>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</si>
  <si>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</si>
  <si>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</si>
  <si>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</si>
  <si>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</si>
  <si>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</si>
  <si>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</si>
  <si>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</si>
  <si>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</si>
  <si>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</si>
  <si>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</si>
  <si>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</si>
  <si>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</si>
  <si>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</si>
  <si>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</si>
  <si>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</si>
  <si>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</si>
  <si>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</si>
  <si>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</si>
  <si>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</si>
  <si>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</si>
  <si>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</si>
  <si>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</si>
  <si>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</si>
  <si>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</si>
  <si>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</si>
  <si>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</si>
  <si>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</si>
  <si>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</si>
  <si>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</si>
  <si>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</si>
  <si>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</si>
  <si>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</si>
  <si>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</si>
  <si>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</si>
  <si>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</si>
  <si>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</si>
  <si>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</si>
  <si>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</si>
  <si>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</si>
  <si>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</si>
  <si>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</si>
  <si>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</si>
  <si>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</si>
  <si>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</si>
  <si>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</si>
  <si>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</si>
  <si>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</si>
  <si>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</si>
  <si>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</si>
  <si>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</si>
  <si>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</si>
  <si>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</si>
  <si>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</si>
  <si>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</si>
  <si>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</si>
  <si>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</si>
  <si>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</si>
  <si>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</si>
  <si>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</si>
  <si>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</si>
  <si>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</si>
  <si>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</si>
  <si>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</si>
  <si>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</si>
  <si>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</si>
  <si>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</si>
  <si>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</si>
  <si>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</si>
  <si>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</si>
  <si>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</si>
  <si>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</si>
  <si>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</si>
  <si>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</si>
  <si>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</si>
  <si>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</si>
  <si>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</si>
  <si>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</si>
  <si>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</si>
  <si>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</si>
  <si>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</si>
  <si>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</si>
  <si>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</si>
  <si>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</si>
  <si>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</si>
  <si>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</si>
  <si>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</si>
  <si>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</si>
  <si>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</si>
  <si>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</si>
  <si>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</si>
  <si>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</si>
  <si>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</si>
  <si>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</si>
  <si>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</si>
  <si>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</si>
  <si>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</si>
  <si>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</si>
  <si>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</si>
  <si>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</si>
  <si>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</si>
  <si>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</si>
  <si>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</si>
  <si>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</si>
  <si>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</si>
  <si>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</si>
  <si>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</si>
  <si>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</si>
  <si>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</si>
  <si>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</si>
  <si>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</si>
  <si>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</si>
  <si>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</si>
  <si>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</si>
  <si>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</si>
  <si>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</si>
  <si>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</si>
  <si>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</si>
  <si>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</si>
  <si>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</si>
  <si>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</si>
  <si>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</si>
  <si>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</si>
  <si>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</si>
  <si>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</si>
  <si>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</si>
  <si>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</si>
  <si>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</si>
  <si>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</si>
  <si>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</si>
  <si>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</si>
  <si>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</si>
  <si>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</si>
  <si>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</si>
  <si>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</si>
  <si>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</si>
  <si>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</si>
  <si>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</si>
  <si>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</si>
  <si>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</si>
  <si>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</si>
  <si>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</si>
  <si>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</si>
  <si>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</si>
  <si>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</si>
  <si>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</si>
  <si>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</si>
  <si>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</si>
  <si>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</si>
  <si>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</si>
  <si>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</si>
  <si>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</si>
  <si>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</si>
  <si>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</si>
  <si>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</si>
  <si>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</si>
  <si>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</si>
  <si>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</si>
  <si>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</si>
  <si>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</si>
  <si>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</si>
  <si>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</si>
  <si>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</si>
  <si>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</si>
  <si>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</si>
  <si>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</si>
  <si>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</si>
  <si>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</si>
  <si>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</si>
  <si>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</si>
  <si>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</si>
  <si>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</si>
  <si>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</si>
  <si>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</si>
  <si>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</si>
  <si>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</si>
  <si>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</si>
  <si>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</si>
  <si>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</si>
  <si>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</si>
  <si>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</si>
  <si>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</si>
  <si>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</si>
  <si>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</si>
  <si>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</si>
  <si>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</si>
  <si>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</si>
  <si>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</si>
  <si>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</si>
  <si>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</si>
  <si>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</si>
  <si>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</si>
  <si>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</si>
  <si>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</si>
  <si>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</si>
  <si>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</si>
  <si>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</si>
  <si>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</si>
  <si>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</si>
  <si>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</si>
  <si>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</si>
  <si>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</si>
  <si>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</si>
  <si>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</si>
  <si>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</si>
  <si>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</si>
  <si>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</si>
  <si>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</si>
  <si>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</si>
  <si>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</si>
  <si>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</si>
  <si>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</si>
  <si>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</si>
  <si>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</si>
  <si>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</si>
  <si>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</si>
  <si>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</si>
  <si>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</si>
  <si>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</si>
  <si>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</si>
  <si>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</si>
  <si>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</si>
  <si>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</si>
  <si>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</si>
  <si>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</si>
  <si>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</si>
  <si>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</si>
  <si>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</si>
  <si>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</si>
  <si>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</si>
  <si>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</si>
  <si>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</si>
  <si>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</si>
  <si>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</si>
  <si>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</si>
  <si>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</si>
  <si>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</si>
  <si>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</si>
  <si>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</si>
  <si>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</si>
  <si>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</si>
  <si>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</si>
  <si>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</si>
  <si>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</si>
  <si>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</si>
  <si>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</si>
  <si>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</si>
  <si>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</si>
  <si>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</si>
  <si>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</si>
  <si>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</si>
  <si>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</si>
  <si>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</si>
  <si>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</si>
  <si>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</si>
  <si>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</si>
  <si>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</si>
  <si>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</si>
  <si>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</si>
  <si>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</si>
  <si>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</si>
  <si>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</si>
  <si>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</si>
  <si>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</si>
  <si>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</si>
  <si>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</si>
  <si>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</si>
  <si>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</si>
  <si>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</si>
  <si>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</si>
  <si>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</si>
  <si>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</si>
  <si>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</si>
  <si>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</si>
  <si>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</si>
  <si>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</si>
  <si>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</si>
  <si>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</si>
  <si>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</si>
  <si>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</si>
  <si>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</si>
  <si>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</si>
  <si>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</si>
  <si>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</si>
  <si>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</si>
  <si>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</si>
  <si>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</si>
  <si>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</si>
  <si>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</si>
  <si>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</si>
  <si>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</si>
  <si>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</si>
  <si>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</si>
  <si>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</si>
  <si>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</si>
  <si>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</si>
  <si>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</si>
  <si>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</si>
  <si>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</si>
  <si>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</si>
  <si>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</si>
  <si>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</si>
  <si>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</si>
  <si>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</si>
  <si>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</si>
  <si>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</si>
  <si>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</si>
  <si>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</si>
  <si>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</si>
  <si>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</si>
  <si>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</si>
  <si>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</si>
  <si>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</si>
  <si>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</si>
  <si>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</si>
  <si>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</si>
  <si>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</si>
  <si>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</si>
  <si>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</si>
  <si>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</si>
  <si>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</si>
  <si>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</si>
  <si>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</si>
  <si>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</si>
  <si>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</si>
  <si>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</si>
  <si>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</si>
  <si>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</si>
  <si>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</si>
  <si>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</si>
  <si>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</si>
  <si>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</si>
  <si>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</si>
  <si>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</si>
  <si>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</si>
  <si>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</si>
  <si>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</si>
  <si>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</si>
  <si>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</si>
  <si>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</si>
  <si>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</si>
  <si>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</si>
  <si>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</si>
  <si>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</si>
  <si>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</si>
  <si>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</si>
  <si>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</si>
  <si>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</si>
  <si>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</si>
  <si>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</si>
  <si>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</si>
  <si>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</si>
  <si>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</si>
  <si>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</si>
  <si>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</si>
  <si>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</si>
  <si>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</si>
  <si>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</si>
  <si>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</si>
  <si>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</si>
  <si>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</si>
  <si>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</si>
  <si>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</si>
  <si>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</si>
  <si>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</si>
  <si>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</si>
  <si>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</si>
  <si>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</si>
  <si>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</si>
  <si>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</si>
  <si>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</si>
  <si>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</si>
  <si>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</si>
  <si>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</si>
  <si>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</si>
  <si>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</si>
  <si>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</si>
  <si>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</si>
  <si>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</si>
  <si>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</si>
  <si>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</si>
  <si>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</si>
  <si>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</si>
  <si>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</si>
  <si>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</si>
  <si>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</si>
  <si>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</si>
  <si>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</si>
  <si>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</si>
  <si>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</si>
  <si>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</si>
  <si>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</si>
  <si>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</si>
  <si>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</si>
  <si>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</si>
  <si>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</si>
  <si>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</si>
  <si>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</si>
  <si>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</si>
  <si>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</si>
  <si>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</si>
  <si>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</si>
  <si>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</si>
  <si>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</si>
  <si>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</si>
  <si>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</si>
  <si>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</si>
  <si>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</si>
  <si>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</si>
  <si>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</si>
  <si>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</si>
  <si>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</si>
  <si>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</si>
  <si>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</si>
  <si>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</si>
  <si>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</si>
  <si>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</si>
  <si>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</si>
  <si>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</si>
  <si>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</si>
  <si>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</si>
  <si>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</si>
  <si>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</si>
  <si>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</si>
  <si>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</si>
  <si>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</si>
  <si>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</si>
  <si>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</si>
  <si>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</si>
  <si>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</si>
  <si>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</si>
  <si>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</si>
  <si>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</si>
  <si>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</si>
  <si>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</si>
  <si>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</si>
  <si>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</si>
  <si>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</si>
  <si>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</si>
  <si>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</si>
  <si>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</si>
  <si>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</si>
  <si>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</si>
  <si>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</si>
  <si>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</si>
  <si>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</si>
  <si>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</si>
  <si>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</si>
  <si>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</si>
  <si>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</si>
  <si>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</si>
  <si>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</si>
  <si>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</si>
  <si>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</si>
  <si>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</si>
  <si>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</si>
  <si>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</si>
  <si>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</si>
  <si>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</si>
  <si>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</si>
  <si>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</si>
  <si>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</si>
  <si>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</si>
  <si>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</si>
  <si>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</si>
  <si>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</si>
  <si>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</si>
  <si>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</si>
  <si>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</si>
  <si>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</si>
  <si>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</si>
  <si>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</si>
  <si>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</si>
  <si>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</si>
  <si>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</si>
  <si>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</si>
  <si>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</si>
  <si>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</si>
  <si>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</si>
  <si>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</si>
  <si>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</si>
  <si>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</si>
  <si>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</si>
  <si>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</si>
  <si>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</si>
  <si>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</si>
  <si>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</si>
  <si>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</si>
  <si>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</si>
  <si>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</si>
  <si>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</si>
  <si>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</si>
  <si>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</si>
  <si>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</si>
  <si>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</si>
  <si>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</si>
  <si>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</si>
  <si>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</si>
  <si>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</si>
  <si>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</si>
  <si>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</si>
  <si>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</si>
  <si>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</si>
  <si>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</si>
  <si>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</si>
  <si>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</si>
  <si>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</si>
  <si>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</si>
  <si>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</si>
  <si>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</si>
  <si>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</si>
  <si>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</si>
  <si>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</si>
  <si>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</si>
  <si>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</si>
  <si>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</si>
  <si>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</si>
  <si>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</si>
  <si>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</si>
  <si>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</si>
  <si>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</si>
  <si>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</si>
  <si>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</si>
  <si>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</si>
  <si>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</si>
  <si>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</si>
  <si>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</si>
  <si>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</si>
  <si>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</si>
  <si>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</si>
  <si>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</si>
  <si>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</si>
  <si>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</si>
  <si>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</si>
  <si>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</si>
  <si>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</si>
  <si>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</si>
  <si>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</si>
  <si>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</si>
  <si>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</si>
  <si>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</si>
  <si>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</si>
  <si>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</si>
  <si>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</si>
  <si>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</si>
  <si>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</si>
  <si>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</si>
  <si>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</si>
  <si>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</si>
  <si>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</si>
  <si>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</si>
  <si>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</si>
  <si>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</si>
  <si>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</si>
  <si>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</si>
  <si>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</si>
  <si>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</si>
  <si>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</si>
  <si>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</si>
  <si>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</si>
  <si>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</si>
  <si>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</si>
  <si>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</si>
  <si>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</si>
  <si>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</si>
  <si>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</si>
  <si>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</si>
  <si>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</si>
  <si>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</si>
  <si>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</si>
  <si>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</si>
  <si>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</si>
  <si>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</si>
  <si>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</si>
  <si>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</si>
  <si>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</si>
  <si>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</si>
  <si>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</si>
  <si>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</si>
  <si>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</si>
  <si>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</si>
  <si>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</si>
  <si>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</si>
  <si>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</si>
  <si>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</si>
  <si>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</si>
  <si>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</si>
  <si>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</si>
  <si>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</si>
  <si>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</si>
  <si>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</si>
  <si>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</si>
  <si>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</si>
  <si>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</si>
  <si>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</si>
  <si>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</si>
  <si>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</si>
  <si>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</si>
  <si>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</si>
  <si>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</si>
  <si>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</si>
  <si>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</si>
  <si>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</si>
  <si>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</si>
  <si>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</si>
  <si>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</si>
  <si>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</si>
  <si>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</si>
  <si>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13049</t>
  </si>
  <si>
    <t>WESTERLO</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</si>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</sst>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4079D9D-F3C3-4038-8386-8E30FA0AFCF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13049</v>
      </c>
      <c r="B6" s="382"/>
      <c r="C6" s="383"/>
    </row>
    <row r="7" spans="1:7" s="380" customFormat="1" ht="15.75" customHeight="1">
      <c r="A7" s="384" t="str">
        <f>txtMunicipality</f>
        <v>WESTERLO</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0.21368589249303307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0.21368589249303307</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9874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2203</v>
      </c>
      <c r="C14" s="324"/>
      <c r="D14" s="324"/>
      <c r="E14" s="324"/>
      <c r="F14" s="324"/>
    </row>
    <row r="15" spans="1:6">
      <c r="A15" s="1235" t="s">
        <v>177</v>
      </c>
      <c r="B15" s="1236">
        <v>3017</v>
      </c>
      <c r="C15" s="324"/>
      <c r="D15" s="324"/>
      <c r="E15" s="324"/>
      <c r="F15" s="324"/>
    </row>
    <row r="16" spans="1:6">
      <c r="A16" s="1235" t="s">
        <v>6</v>
      </c>
      <c r="B16" s="1236">
        <v>1593</v>
      </c>
      <c r="C16" s="324"/>
      <c r="D16" s="324"/>
      <c r="E16" s="324"/>
      <c r="F16" s="324"/>
    </row>
    <row r="17" spans="1:6">
      <c r="A17" s="1235" t="s">
        <v>7</v>
      </c>
      <c r="B17" s="1236">
        <v>211</v>
      </c>
      <c r="C17" s="324"/>
      <c r="D17" s="324"/>
      <c r="E17" s="324"/>
      <c r="F17" s="324"/>
    </row>
    <row r="18" spans="1:6">
      <c r="A18" s="1235" t="s">
        <v>8</v>
      </c>
      <c r="B18" s="1236">
        <v>944</v>
      </c>
      <c r="C18" s="324"/>
      <c r="D18" s="324"/>
      <c r="E18" s="324"/>
      <c r="F18" s="324"/>
    </row>
    <row r="19" spans="1:6">
      <c r="A19" s="1235" t="s">
        <v>9</v>
      </c>
      <c r="B19" s="1236">
        <v>913</v>
      </c>
      <c r="C19" s="324"/>
      <c r="D19" s="324"/>
      <c r="E19" s="324"/>
      <c r="F19" s="324"/>
    </row>
    <row r="20" spans="1:6">
      <c r="A20" s="1235" t="s">
        <v>10</v>
      </c>
      <c r="B20" s="1236">
        <v>833</v>
      </c>
      <c r="C20" s="324"/>
      <c r="D20" s="324"/>
      <c r="E20" s="324"/>
      <c r="F20" s="324"/>
    </row>
    <row r="21" spans="1:6">
      <c r="A21" s="1235" t="s">
        <v>11</v>
      </c>
      <c r="B21" s="1236">
        <v>2009</v>
      </c>
      <c r="C21" s="324"/>
      <c r="D21" s="324"/>
      <c r="E21" s="324"/>
      <c r="F21" s="324"/>
    </row>
    <row r="22" spans="1:6">
      <c r="A22" s="1235" t="s">
        <v>12</v>
      </c>
      <c r="B22" s="1236">
        <v>2655</v>
      </c>
      <c r="C22" s="324"/>
      <c r="D22" s="324"/>
      <c r="E22" s="324"/>
      <c r="F22" s="324"/>
    </row>
    <row r="23" spans="1:6">
      <c r="A23" s="1235" t="s">
        <v>13</v>
      </c>
      <c r="B23" s="1236">
        <v>51</v>
      </c>
      <c r="C23" s="324"/>
      <c r="D23" s="324"/>
      <c r="E23" s="324"/>
      <c r="F23" s="324"/>
    </row>
    <row r="24" spans="1:6">
      <c r="A24" s="1235" t="s">
        <v>14</v>
      </c>
      <c r="B24" s="1236">
        <v>0</v>
      </c>
      <c r="C24" s="324"/>
      <c r="D24" s="324"/>
      <c r="E24" s="324"/>
      <c r="F24" s="324"/>
    </row>
    <row r="25" spans="1:6">
      <c r="A25" s="1235" t="s">
        <v>15</v>
      </c>
      <c r="B25" s="1236">
        <v>378</v>
      </c>
      <c r="C25" s="324"/>
      <c r="D25" s="324"/>
      <c r="E25" s="324"/>
      <c r="F25" s="324"/>
    </row>
    <row r="26" spans="1:6">
      <c r="A26" s="1235" t="s">
        <v>16</v>
      </c>
      <c r="B26" s="1236">
        <v>66</v>
      </c>
      <c r="C26" s="324"/>
      <c r="D26" s="324"/>
      <c r="E26" s="324"/>
      <c r="F26" s="324"/>
    </row>
    <row r="27" spans="1:6">
      <c r="A27" s="1235" t="s">
        <v>17</v>
      </c>
      <c r="B27" s="1236">
        <v>5</v>
      </c>
      <c r="C27" s="324"/>
      <c r="D27" s="324"/>
      <c r="E27" s="324"/>
      <c r="F27" s="324"/>
    </row>
    <row r="28" spans="1:6">
      <c r="A28" s="1235" t="s">
        <v>18</v>
      </c>
      <c r="B28" s="1237">
        <v>8367</v>
      </c>
      <c r="C28" s="324"/>
      <c r="D28" s="324"/>
      <c r="E28" s="324"/>
      <c r="F28" s="324"/>
    </row>
    <row r="29" spans="1:6">
      <c r="A29" s="1235" t="s">
        <v>959</v>
      </c>
      <c r="B29" s="1237">
        <v>256</v>
      </c>
      <c r="C29" s="324"/>
      <c r="D29" s="324"/>
      <c r="E29" s="324"/>
      <c r="F29" s="324"/>
    </row>
    <row r="30" spans="1:6">
      <c r="A30" s="1230" t="s">
        <v>960</v>
      </c>
      <c r="B30" s="1238">
        <v>75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38428.7523082466</v>
      </c>
      <c r="E38" s="1236">
        <v>4</v>
      </c>
      <c r="F38" s="1236">
        <v>7674.0239021973002</v>
      </c>
    </row>
    <row r="39" spans="1:6">
      <c r="A39" s="1235" t="s">
        <v>29</v>
      </c>
      <c r="B39" s="1235" t="s">
        <v>30</v>
      </c>
      <c r="C39" s="1236">
        <v>5848</v>
      </c>
      <c r="D39" s="1236">
        <v>101811288.983558</v>
      </c>
      <c r="E39" s="1236">
        <v>9713</v>
      </c>
      <c r="F39" s="1236">
        <v>39130611.4623724</v>
      </c>
    </row>
    <row r="40" spans="1:6">
      <c r="A40" s="1235" t="s">
        <v>29</v>
      </c>
      <c r="B40" s="1235" t="s">
        <v>28</v>
      </c>
      <c r="C40" s="1236">
        <v>0</v>
      </c>
      <c r="D40" s="1236">
        <v>0</v>
      </c>
      <c r="E40" s="1236">
        <v>0</v>
      </c>
      <c r="F40" s="1236">
        <v>0</v>
      </c>
    </row>
    <row r="41" spans="1:6">
      <c r="A41" s="1235" t="s">
        <v>31</v>
      </c>
      <c r="B41" s="1235" t="s">
        <v>32</v>
      </c>
      <c r="C41" s="1236">
        <v>43</v>
      </c>
      <c r="D41" s="1236">
        <v>1293306.1929854001</v>
      </c>
      <c r="E41" s="1236">
        <v>125</v>
      </c>
      <c r="F41" s="1236">
        <v>1700228.58895177</v>
      </c>
    </row>
    <row r="42" spans="1:6">
      <c r="A42" s="1235" t="s">
        <v>31</v>
      </c>
      <c r="B42" s="1235" t="s">
        <v>33</v>
      </c>
      <c r="C42" s="1236">
        <v>4</v>
      </c>
      <c r="D42" s="1236">
        <v>5494231.9449898303</v>
      </c>
      <c r="E42" s="1236">
        <v>7</v>
      </c>
      <c r="F42" s="1236">
        <v>57054243.839927003</v>
      </c>
    </row>
    <row r="43" spans="1:6">
      <c r="A43" s="1235" t="s">
        <v>31</v>
      </c>
      <c r="B43" s="1235" t="s">
        <v>34</v>
      </c>
      <c r="C43" s="1236">
        <v>0</v>
      </c>
      <c r="D43" s="1236">
        <v>0</v>
      </c>
      <c r="E43" s="1236">
        <v>0</v>
      </c>
      <c r="F43" s="1236">
        <v>0</v>
      </c>
    </row>
    <row r="44" spans="1:6">
      <c r="A44" s="1235" t="s">
        <v>31</v>
      </c>
      <c r="B44" s="1235" t="s">
        <v>35</v>
      </c>
      <c r="C44" s="1236">
        <v>3</v>
      </c>
      <c r="D44" s="1236">
        <v>99023.084878694295</v>
      </c>
      <c r="E44" s="1236">
        <v>11</v>
      </c>
      <c r="F44" s="1236">
        <v>382460.98458982399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48523.6697182848</v>
      </c>
      <c r="E47" s="1236">
        <v>3</v>
      </c>
      <c r="F47" s="1236">
        <v>12194.4661046111</v>
      </c>
    </row>
    <row r="48" spans="1:6">
      <c r="A48" s="1235" t="s">
        <v>31</v>
      </c>
      <c r="B48" s="1235" t="s">
        <v>28</v>
      </c>
      <c r="C48" s="1236">
        <v>33</v>
      </c>
      <c r="D48" s="1236">
        <v>57992195.471771903</v>
      </c>
      <c r="E48" s="1236">
        <v>37</v>
      </c>
      <c r="F48" s="1236">
        <v>83557555.790149406</v>
      </c>
    </row>
    <row r="49" spans="1:6">
      <c r="A49" s="1235" t="s">
        <v>31</v>
      </c>
      <c r="B49" s="1235" t="s">
        <v>39</v>
      </c>
      <c r="C49" s="1236">
        <v>0</v>
      </c>
      <c r="D49" s="1236">
        <v>0</v>
      </c>
      <c r="E49" s="1236">
        <v>0</v>
      </c>
      <c r="F49" s="1236">
        <v>0</v>
      </c>
    </row>
    <row r="50" spans="1:6">
      <c r="A50" s="1235" t="s">
        <v>31</v>
      </c>
      <c r="B50" s="1235" t="s">
        <v>40</v>
      </c>
      <c r="C50" s="1236">
        <v>11</v>
      </c>
      <c r="D50" s="1236">
        <v>799585.08962054295</v>
      </c>
      <c r="E50" s="1236">
        <v>20</v>
      </c>
      <c r="F50" s="1236">
        <v>7670209.9010270797</v>
      </c>
    </row>
    <row r="51" spans="1:6">
      <c r="A51" s="1235" t="s">
        <v>41</v>
      </c>
      <c r="B51" s="1235" t="s">
        <v>42</v>
      </c>
      <c r="C51" s="1236">
        <v>3</v>
      </c>
      <c r="D51" s="1236">
        <v>65916.729792003796</v>
      </c>
      <c r="E51" s="1236">
        <v>62</v>
      </c>
      <c r="F51" s="1236">
        <v>3221345.4165509702</v>
      </c>
    </row>
    <row r="52" spans="1:6">
      <c r="A52" s="1235" t="s">
        <v>41</v>
      </c>
      <c r="B52" s="1235" t="s">
        <v>28</v>
      </c>
      <c r="C52" s="1236">
        <v>6</v>
      </c>
      <c r="D52" s="1236">
        <v>18385088.612224899</v>
      </c>
      <c r="E52" s="1236">
        <v>8</v>
      </c>
      <c r="F52" s="1236">
        <v>273286.98054081801</v>
      </c>
    </row>
    <row r="53" spans="1:6">
      <c r="A53" s="1235" t="s">
        <v>43</v>
      </c>
      <c r="B53" s="1235" t="s">
        <v>44</v>
      </c>
      <c r="C53" s="1236">
        <v>219</v>
      </c>
      <c r="D53" s="1236">
        <v>5024646.0632749004</v>
      </c>
      <c r="E53" s="1236">
        <v>370</v>
      </c>
      <c r="F53" s="1236">
        <v>2059146.42482866</v>
      </c>
    </row>
    <row r="54" spans="1:6">
      <c r="A54" s="1235" t="s">
        <v>45</v>
      </c>
      <c r="B54" s="1235" t="s">
        <v>46</v>
      </c>
      <c r="C54" s="1236">
        <v>0</v>
      </c>
      <c r="D54" s="1236">
        <v>0</v>
      </c>
      <c r="E54" s="1236">
        <v>1</v>
      </c>
      <c r="F54" s="1236">
        <v>2136701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33</v>
      </c>
      <c r="D57" s="1236">
        <v>2334537.31793231</v>
      </c>
      <c r="E57" s="1236">
        <v>152</v>
      </c>
      <c r="F57" s="1236">
        <v>5704185.1556362798</v>
      </c>
    </row>
    <row r="58" spans="1:6">
      <c r="A58" s="1235" t="s">
        <v>48</v>
      </c>
      <c r="B58" s="1235" t="s">
        <v>50</v>
      </c>
      <c r="C58" s="1236">
        <v>24</v>
      </c>
      <c r="D58" s="1236">
        <v>756141.57531164703</v>
      </c>
      <c r="E58" s="1236">
        <v>38</v>
      </c>
      <c r="F58" s="1236">
        <v>413753.78270573798</v>
      </c>
    </row>
    <row r="59" spans="1:6">
      <c r="A59" s="1235" t="s">
        <v>48</v>
      </c>
      <c r="B59" s="1235" t="s">
        <v>51</v>
      </c>
      <c r="C59" s="1236">
        <v>98</v>
      </c>
      <c r="D59" s="1236">
        <v>10211472.0029626</v>
      </c>
      <c r="E59" s="1236">
        <v>216</v>
      </c>
      <c r="F59" s="1236">
        <v>14467627.3587602</v>
      </c>
    </row>
    <row r="60" spans="1:6">
      <c r="A60" s="1235" t="s">
        <v>48</v>
      </c>
      <c r="B60" s="1235" t="s">
        <v>52</v>
      </c>
      <c r="C60" s="1236">
        <v>69</v>
      </c>
      <c r="D60" s="1236">
        <v>3256736.4721336202</v>
      </c>
      <c r="E60" s="1236">
        <v>111</v>
      </c>
      <c r="F60" s="1236">
        <v>4262817.4469670504</v>
      </c>
    </row>
    <row r="61" spans="1:6">
      <c r="A61" s="1235" t="s">
        <v>48</v>
      </c>
      <c r="B61" s="1235" t="s">
        <v>53</v>
      </c>
      <c r="C61" s="1236">
        <v>182</v>
      </c>
      <c r="D61" s="1236">
        <v>9872972.8480624799</v>
      </c>
      <c r="E61" s="1236">
        <v>298</v>
      </c>
      <c r="F61" s="1236">
        <v>8323741.1996249501</v>
      </c>
    </row>
    <row r="62" spans="1:6">
      <c r="A62" s="1235" t="s">
        <v>48</v>
      </c>
      <c r="B62" s="1235" t="s">
        <v>54</v>
      </c>
      <c r="C62" s="1236">
        <v>18</v>
      </c>
      <c r="D62" s="1236">
        <v>4321578.2070598099</v>
      </c>
      <c r="E62" s="1236">
        <v>18</v>
      </c>
      <c r="F62" s="1236">
        <v>713270.88920810795</v>
      </c>
    </row>
    <row r="63" spans="1:6">
      <c r="A63" s="1235" t="s">
        <v>48</v>
      </c>
      <c r="B63" s="1235" t="s">
        <v>28</v>
      </c>
      <c r="C63" s="1236">
        <v>90</v>
      </c>
      <c r="D63" s="1236">
        <v>7459157.77977244</v>
      </c>
      <c r="E63" s="1236">
        <v>95</v>
      </c>
      <c r="F63" s="1236">
        <v>7132811.2843642496</v>
      </c>
    </row>
    <row r="64" spans="1:6">
      <c r="A64" s="1235" t="s">
        <v>55</v>
      </c>
      <c r="B64" s="1235" t="s">
        <v>56</v>
      </c>
      <c r="C64" s="1236">
        <v>0</v>
      </c>
      <c r="D64" s="1236">
        <v>0</v>
      </c>
      <c r="E64" s="1236">
        <v>0</v>
      </c>
      <c r="F64" s="1236">
        <v>0</v>
      </c>
    </row>
    <row r="65" spans="1:6">
      <c r="A65" s="1235" t="s">
        <v>55</v>
      </c>
      <c r="B65" s="1235" t="s">
        <v>28</v>
      </c>
      <c r="C65" s="1236">
        <v>3</v>
      </c>
      <c r="D65" s="1236">
        <v>306354.45878987998</v>
      </c>
      <c r="E65" s="1236">
        <v>3</v>
      </c>
      <c r="F65" s="1236">
        <v>14193.210627233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16</v>
      </c>
      <c r="F68" s="1238">
        <v>558999.01780654897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114183159</v>
      </c>
      <c r="E73" s="443"/>
      <c r="F73" s="324"/>
    </row>
    <row r="74" spans="1:6">
      <c r="A74" s="1235" t="s">
        <v>63</v>
      </c>
      <c r="B74" s="1235" t="s">
        <v>730</v>
      </c>
      <c r="C74" s="1248" t="s">
        <v>731</v>
      </c>
      <c r="D74" s="1236">
        <v>6739233.7466833154</v>
      </c>
      <c r="E74" s="443"/>
      <c r="F74" s="324"/>
    </row>
    <row r="75" spans="1:6">
      <c r="A75" s="1235" t="s">
        <v>64</v>
      </c>
      <c r="B75" s="1235" t="s">
        <v>728</v>
      </c>
      <c r="C75" s="1248" t="s">
        <v>732</v>
      </c>
      <c r="D75" s="1236">
        <v>21266182</v>
      </c>
      <c r="E75" s="443"/>
      <c r="F75" s="324"/>
    </row>
    <row r="76" spans="1:6">
      <c r="A76" s="1235" t="s">
        <v>64</v>
      </c>
      <c r="B76" s="1235" t="s">
        <v>730</v>
      </c>
      <c r="C76" s="1248" t="s">
        <v>733</v>
      </c>
      <c r="D76" s="1236">
        <v>268528.74668331549</v>
      </c>
      <c r="E76" s="443"/>
      <c r="F76" s="324"/>
    </row>
    <row r="77" spans="1:6">
      <c r="A77" s="1235" t="s">
        <v>65</v>
      </c>
      <c r="B77" s="1235" t="s">
        <v>728</v>
      </c>
      <c r="C77" s="1248" t="s">
        <v>734</v>
      </c>
      <c r="D77" s="1236">
        <v>84069046</v>
      </c>
      <c r="E77" s="443"/>
      <c r="F77" s="324"/>
    </row>
    <row r="78" spans="1:6">
      <c r="A78" s="1230" t="s">
        <v>65</v>
      </c>
      <c r="B78" s="1230" t="s">
        <v>730</v>
      </c>
      <c r="C78" s="1230" t="s">
        <v>735</v>
      </c>
      <c r="D78" s="1238">
        <v>13441108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555312.50663336902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2933.5685880855744</v>
      </c>
      <c r="C91" s="324"/>
      <c r="D91" s="324"/>
      <c r="E91" s="324"/>
      <c r="F91" s="324"/>
    </row>
    <row r="92" spans="1:6">
      <c r="A92" s="1230" t="s">
        <v>68</v>
      </c>
      <c r="B92" s="1231">
        <v>4147.4287851933532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3611</v>
      </c>
      <c r="C97" s="324"/>
      <c r="D97" s="324"/>
      <c r="E97" s="324"/>
      <c r="F97" s="324"/>
    </row>
    <row r="98" spans="1:6">
      <c r="A98" s="1235" t="s">
        <v>71</v>
      </c>
      <c r="B98" s="1236">
        <v>8</v>
      </c>
      <c r="C98" s="324"/>
      <c r="D98" s="324"/>
      <c r="E98" s="324"/>
      <c r="F98" s="324"/>
    </row>
    <row r="99" spans="1:6">
      <c r="A99" s="1235" t="s">
        <v>72</v>
      </c>
      <c r="B99" s="1236">
        <v>95</v>
      </c>
      <c r="C99" s="324"/>
      <c r="D99" s="324"/>
      <c r="E99" s="324"/>
      <c r="F99" s="324"/>
    </row>
    <row r="100" spans="1:6">
      <c r="A100" s="1235" t="s">
        <v>73</v>
      </c>
      <c r="B100" s="1236">
        <v>255</v>
      </c>
      <c r="C100" s="324"/>
      <c r="D100" s="324"/>
      <c r="E100" s="324"/>
      <c r="F100" s="324"/>
    </row>
    <row r="101" spans="1:6">
      <c r="A101" s="1235" t="s">
        <v>74</v>
      </c>
      <c r="B101" s="1236">
        <v>106</v>
      </c>
      <c r="C101" s="324"/>
      <c r="D101" s="324"/>
      <c r="E101" s="324"/>
      <c r="F101" s="324"/>
    </row>
    <row r="102" spans="1:6">
      <c r="A102" s="1235" t="s">
        <v>75</v>
      </c>
      <c r="B102" s="1236">
        <v>81</v>
      </c>
      <c r="C102" s="324"/>
      <c r="D102" s="324"/>
      <c r="E102" s="324"/>
      <c r="F102" s="324"/>
    </row>
    <row r="103" spans="1:6">
      <c r="A103" s="1235" t="s">
        <v>76</v>
      </c>
      <c r="B103" s="1236">
        <v>196</v>
      </c>
      <c r="C103" s="324"/>
      <c r="D103" s="324"/>
      <c r="E103" s="324"/>
      <c r="F103" s="324"/>
    </row>
    <row r="104" spans="1:6">
      <c r="A104" s="1235" t="s">
        <v>77</v>
      </c>
      <c r="B104" s="1236">
        <v>3988</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18</v>
      </c>
      <c r="C123" s="1236">
        <v>14</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70</v>
      </c>
      <c r="C129" s="324"/>
      <c r="D129" s="324"/>
      <c r="E129" s="324"/>
      <c r="F129" s="324"/>
    </row>
    <row r="130" spans="1:6">
      <c r="A130" s="1235" t="s">
        <v>284</v>
      </c>
      <c r="B130" s="1236">
        <v>3</v>
      </c>
      <c r="C130" s="324"/>
      <c r="D130" s="324"/>
      <c r="E130" s="324"/>
      <c r="F130" s="324"/>
    </row>
    <row r="131" spans="1:6">
      <c r="A131" s="1235" t="s">
        <v>285</v>
      </c>
      <c r="B131" s="1236">
        <v>0</v>
      </c>
      <c r="C131" s="324"/>
      <c r="D131" s="324"/>
      <c r="E131" s="324"/>
      <c r="F131" s="324"/>
    </row>
    <row r="132" spans="1:6">
      <c r="A132" s="1230" t="s">
        <v>286</v>
      </c>
      <c r="B132" s="1231">
        <v>20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242502.5288271966</v>
      </c>
      <c r="C3" s="43" t="s">
        <v>163</v>
      </c>
      <c r="D3" s="43"/>
      <c r="E3" s="155"/>
      <c r="F3" s="43"/>
      <c r="G3" s="43"/>
      <c r="H3" s="43"/>
      <c r="I3" s="43"/>
      <c r="J3" s="43"/>
      <c r="K3" s="96"/>
    </row>
    <row r="4" spans="1:11">
      <c r="A4" s="350" t="s">
        <v>164</v>
      </c>
      <c r="B4" s="49">
        <f>IF(ISERROR('SEAP template'!B78+'SEAP template'!C78),0,'SEAP template'!B78+'SEAP template'!C78)</f>
        <v>13682.497373278928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1250.1423529411766</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0.21368589249303307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1785.9176470588238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7515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2136.701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2136.701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0.21368589249303307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456.58286017575625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39130.611462372399</v>
      </c>
      <c r="C5" s="17">
        <f>IF(ISERROR('Eigen informatie GS &amp; warmtenet'!B57),0,'Eigen informatie GS &amp; warmtenet'!B57)</f>
        <v>0</v>
      </c>
      <c r="D5" s="30">
        <f>(SUM(HH_hh_gas_kWh,HH_rest_gas_kWh)/1000)*0.902</f>
        <v>91833.782663169317</v>
      </c>
      <c r="E5" s="17">
        <f>B32*B41</f>
        <v>2065.5945469859262</v>
      </c>
      <c r="F5" s="17">
        <f>B36*B45</f>
        <v>70507.821501707745</v>
      </c>
      <c r="G5" s="18"/>
      <c r="H5" s="17"/>
      <c r="I5" s="17"/>
      <c r="J5" s="17">
        <f>B35*B44+C35*C44</f>
        <v>1587.657382642305</v>
      </c>
      <c r="K5" s="17"/>
      <c r="L5" s="17"/>
      <c r="M5" s="17"/>
      <c r="N5" s="17">
        <f>B34*B43+C34*C43</f>
        <v>11972.031598947589</v>
      </c>
      <c r="O5" s="17">
        <f>B52*B53*B54</f>
        <v>131.32000000000002</v>
      </c>
      <c r="P5" s="17">
        <f>B60*B61*B62/1000-B60*B61*B62/1000/B63</f>
        <v>743.6</v>
      </c>
    </row>
    <row r="6" spans="1:16">
      <c r="A6" s="16" t="s">
        <v>591</v>
      </c>
      <c r="B6" s="727">
        <f>kWh_PV_kleiner_dan_10kW</f>
        <v>2933.5685880855744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42064.180050457973</v>
      </c>
      <c r="C8" s="21">
        <f>C5</f>
        <v>0</v>
      </c>
      <c r="D8" s="21">
        <f>D5</f>
        <v>91833.782663169317</v>
      </c>
      <c r="E8" s="21">
        <f>E5</f>
        <v>2065.5945469859262</v>
      </c>
      <c r="F8" s="21">
        <f>F5</f>
        <v>70507.821501707745</v>
      </c>
      <c r="G8" s="21"/>
      <c r="H8" s="21"/>
      <c r="I8" s="21"/>
      <c r="J8" s="21">
        <f>J5</f>
        <v>1587.657382642305</v>
      </c>
      <c r="K8" s="21"/>
      <c r="L8" s="21">
        <f>L5</f>
        <v>0</v>
      </c>
      <c r="M8" s="21">
        <f>M5</f>
        <v>0</v>
      </c>
      <c r="N8" s="21">
        <f>N5</f>
        <v>11972.031598947589</v>
      </c>
      <c r="O8" s="21">
        <f>O5</f>
        <v>131.32000000000002</v>
      </c>
      <c r="P8" s="21">
        <f>P5</f>
        <v>743.6</v>
      </c>
    </row>
    <row r="9" spans="1:16">
      <c r="B9" s="19"/>
      <c r="C9" s="19"/>
      <c r="D9" s="255"/>
      <c r="E9" s="19"/>
      <c r="F9" s="19"/>
      <c r="G9" s="19"/>
      <c r="H9" s="19"/>
      <c r="I9" s="19"/>
      <c r="J9" s="19"/>
      <c r="K9" s="19"/>
      <c r="L9" s="19"/>
      <c r="M9" s="19"/>
      <c r="N9" s="19"/>
      <c r="O9" s="19"/>
      <c r="P9" s="19"/>
    </row>
    <row r="10" spans="1:16">
      <c r="A10" s="24" t="s">
        <v>207</v>
      </c>
      <c r="B10" s="25">
        <f ca="1">'EF ele_warmte'!B12</f>
        <v>0.21368589249303307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8988.5218560697485</v>
      </c>
      <c r="C12" s="23">
        <f ca="1">C10*C8</f>
        <v>0</v>
      </c>
      <c r="D12" s="23">
        <f>D8*D10</f>
        <v>18550.424097960204</v>
      </c>
      <c r="E12" s="23">
        <f>E10*E8</f>
        <v>468.88996216580523</v>
      </c>
      <c r="F12" s="23">
        <f>F10*F8</f>
        <v>18825.588340955968</v>
      </c>
      <c r="G12" s="23"/>
      <c r="H12" s="23"/>
      <c r="I12" s="23"/>
      <c r="J12" s="23">
        <f>J10*J8</f>
        <v>562.03071345537592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9874</v>
      </c>
      <c r="C26" s="36"/>
      <c r="D26" s="225"/>
    </row>
    <row r="27" spans="1:5" s="15" customFormat="1">
      <c r="A27" s="227" t="s">
        <v>671</v>
      </c>
      <c r="B27" s="37">
        <f>SUM(HH_hh_gas_aantal,HH_rest_gas_aantal)</f>
        <v>5848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5555.6</v>
      </c>
      <c r="C31" s="34" t="s">
        <v>104</v>
      </c>
      <c r="D31" s="171"/>
    </row>
    <row r="32" spans="1:5">
      <c r="A32" s="168" t="s">
        <v>72</v>
      </c>
      <c r="B32" s="33">
        <f>IF((B21*($B$26-($B$27-0.05*$B$27)-$B$60))&lt;0,0,B21*($B$26-($B$27-0.05*$B$27)-$B$60))</f>
        <v>30.339100086449665</v>
      </c>
      <c r="C32" s="34" t="s">
        <v>104</v>
      </c>
      <c r="D32" s="171"/>
    </row>
    <row r="33" spans="1:6">
      <c r="A33" s="168" t="s">
        <v>73</v>
      </c>
      <c r="B33" s="33">
        <f>IF((B22*($B$26-($B$27-0.05*$B$27)-$B$60))&lt;0,0,B22*($B$26-($B$27-0.05*$B$27)-$B$60))</f>
        <v>869.51448070892832</v>
      </c>
      <c r="C33" s="34" t="s">
        <v>104</v>
      </c>
      <c r="D33" s="171"/>
    </row>
    <row r="34" spans="1:6">
      <c r="A34" s="168" t="s">
        <v>74</v>
      </c>
      <c r="B34" s="33">
        <f>IF((B24*($B$26-($B$27-0.05*$B$27)-$B$60))&lt;0,0,B24*($B$26-($B$27-0.05*$B$27)-$B$60))</f>
        <v>173.39037675985804</v>
      </c>
      <c r="C34" s="33">
        <f>B26*C24</f>
        <v>2019.0119678440124</v>
      </c>
      <c r="D34" s="230"/>
    </row>
    <row r="35" spans="1:6">
      <c r="A35" s="168" t="s">
        <v>76</v>
      </c>
      <c r="B35" s="33">
        <f>IF((B19*($B$26-($B$27-0.05*$B$27)-$B$60))&lt;0,0,B19*($B$26-($B$27-0.05*$B$27)-$B$60))</f>
        <v>90.294940733481155</v>
      </c>
      <c r="C35" s="33">
        <f>B35/2</f>
        <v>45.147470366740578</v>
      </c>
      <c r="D35" s="230"/>
    </row>
    <row r="36" spans="1:6">
      <c r="A36" s="168" t="s">
        <v>77</v>
      </c>
      <c r="B36" s="33">
        <f>IF((B18*($B$26-($B$27-0.05*$B$27)-$B$60))&lt;0,0,B18*($B$26-($B$27-0.05*$B$27)-$B$60))</f>
        <v>3115.8611017112821</v>
      </c>
      <c r="C36" s="34" t="s">
        <v>104</v>
      </c>
      <c r="D36" s="171"/>
    </row>
    <row r="37" spans="1:6">
      <c r="A37" s="168" t="s">
        <v>78</v>
      </c>
      <c r="B37" s="33">
        <f>B60</f>
        <v>39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84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41018.207117266582</v>
      </c>
      <c r="C5" s="17">
        <f>IF(ISERROR('Eigen informatie GS &amp; warmtenet'!B58),0,'Eigen informatie GS &amp; warmtenet'!B58)</f>
        <v>0</v>
      </c>
      <c r="D5" s="30">
        <f>SUM(D6:D12)</f>
        <v>34467.761775317886</v>
      </c>
      <c r="E5" s="17">
        <f>SUM(E6:E12)</f>
        <v>783.33259949802505</v>
      </c>
      <c r="F5" s="17">
        <f>SUM(F6:F12)</f>
        <v>8041.3333982656641</v>
      </c>
      <c r="G5" s="18"/>
      <c r="H5" s="17"/>
      <c r="I5" s="17"/>
      <c r="J5" s="17">
        <f>SUM(J6:J12)</f>
        <v>0</v>
      </c>
      <c r="K5" s="17"/>
      <c r="L5" s="17"/>
      <c r="M5" s="17"/>
      <c r="N5" s="17">
        <f>SUM(N6:N12)</f>
        <v>1537.3512535299055</v>
      </c>
      <c r="O5" s="17">
        <f>B38*B39*B40</f>
        <v>4.6900000000000004</v>
      </c>
      <c r="P5" s="17">
        <f>B46*B47*B48/1000-B46*B47*B48/1000/B49</f>
        <v>0</v>
      </c>
      <c r="R5" s="32"/>
    </row>
    <row r="6" spans="1:18">
      <c r="A6" s="32" t="s">
        <v>53</v>
      </c>
      <c r="B6" s="37">
        <f>B26</f>
        <v>8323.7411996249502</v>
      </c>
      <c r="C6" s="33"/>
      <c r="D6" s="37">
        <f>IF(ISERROR(TER_kantoor_gas_kWh/1000),0,TER_kantoor_gas_kWh/1000)*0.902</f>
        <v>8905.4215089523568</v>
      </c>
      <c r="E6" s="33">
        <f>$C$26*'E Balans VL '!I12/100/3.6*1000000</f>
        <v>287.93494671134141</v>
      </c>
      <c r="F6" s="33">
        <f>$C$26*('E Balans VL '!L12+'E Balans VL '!N12)/100/3.6*1000000</f>
        <v>1270.7074794323055</v>
      </c>
      <c r="G6" s="34"/>
      <c r="H6" s="33"/>
      <c r="I6" s="33"/>
      <c r="J6" s="33">
        <f>$C$26*('E Balans VL '!D12+'E Balans VL '!E12)/100/3.6*1000000</f>
        <v>0</v>
      </c>
      <c r="K6" s="33"/>
      <c r="L6" s="33"/>
      <c r="M6" s="33"/>
      <c r="N6" s="33">
        <f>$C$26*'E Balans VL '!Y12/100/3.6*1000000</f>
        <v>128.31442742363453</v>
      </c>
      <c r="O6" s="33"/>
      <c r="P6" s="33"/>
      <c r="R6" s="32"/>
    </row>
    <row r="7" spans="1:18">
      <c r="A7" s="32" t="s">
        <v>52</v>
      </c>
      <c r="B7" s="37">
        <f t="shared" ref="B7:B12" si="0">B27</f>
        <v>4262.8174469670503</v>
      </c>
      <c r="C7" s="33"/>
      <c r="D7" s="37">
        <f>IF(ISERROR(TER_horeca_gas_kWh/1000),0,TER_horeca_gas_kWh/1000)*0.902</f>
        <v>2937.5762978645257</v>
      </c>
      <c r="E7" s="33">
        <f>$C$27*'E Balans VL '!I9/100/3.6*1000000</f>
        <v>233.61594176348635</v>
      </c>
      <c r="F7" s="33">
        <f>$C$27*('E Balans VL '!L9+'E Balans VL '!N9)/100/3.6*1000000</f>
        <v>721.41130262852846</v>
      </c>
      <c r="G7" s="34"/>
      <c r="H7" s="33"/>
      <c r="I7" s="33"/>
      <c r="J7" s="33">
        <f>$C$27*('E Balans VL '!D9+'E Balans VL '!E9)/100/3.6*1000000</f>
        <v>0</v>
      </c>
      <c r="K7" s="33"/>
      <c r="L7" s="33"/>
      <c r="M7" s="33"/>
      <c r="N7" s="33">
        <f>$C$27*'E Balans VL '!Y9/100/3.6*1000000</f>
        <v>0</v>
      </c>
      <c r="O7" s="33"/>
      <c r="P7" s="33"/>
      <c r="R7" s="32"/>
    </row>
    <row r="8" spans="1:18">
      <c r="A8" s="6" t="s">
        <v>51</v>
      </c>
      <c r="B8" s="37">
        <f t="shared" si="0"/>
        <v>14467.627358760201</v>
      </c>
      <c r="C8" s="33"/>
      <c r="D8" s="37">
        <f>IF(ISERROR(TER_handel_gas_kWh/1000),0,TER_handel_gas_kWh/1000)*0.902</f>
        <v>9210.7477466722667</v>
      </c>
      <c r="E8" s="33">
        <f>$C$28*'E Balans VL '!I13/100/3.6*1000000</f>
        <v>73.194197147298823</v>
      </c>
      <c r="F8" s="33">
        <f>$C$28*('E Balans VL '!L13+'E Balans VL '!N13)/100/3.6*1000000</f>
        <v>2198.2428226465099</v>
      </c>
      <c r="G8" s="34"/>
      <c r="H8" s="33"/>
      <c r="I8" s="33"/>
      <c r="J8" s="33">
        <f>$C$28*('E Balans VL '!D13+'E Balans VL '!E13)/100/3.6*1000000</f>
        <v>0</v>
      </c>
      <c r="K8" s="33"/>
      <c r="L8" s="33"/>
      <c r="M8" s="33"/>
      <c r="N8" s="33">
        <f>$C$28*'E Balans VL '!Y13/100/3.6*1000000</f>
        <v>6.7654498409562605</v>
      </c>
      <c r="O8" s="33"/>
      <c r="P8" s="33"/>
      <c r="R8" s="32"/>
    </row>
    <row r="9" spans="1:18">
      <c r="A9" s="32" t="s">
        <v>50</v>
      </c>
      <c r="B9" s="37">
        <f t="shared" si="0"/>
        <v>413.75378270573799</v>
      </c>
      <c r="C9" s="33"/>
      <c r="D9" s="37">
        <f>IF(ISERROR(TER_gezond_gas_kWh/1000),0,TER_gezond_gas_kWh/1000)*0.902</f>
        <v>682.03970093110559</v>
      </c>
      <c r="E9" s="33">
        <f>$C$29*'E Balans VL '!I10/100/3.6*1000000</f>
        <v>0.15045976708054074</v>
      </c>
      <c r="F9" s="33">
        <f>$C$29*('E Balans VL '!L10+'E Balans VL '!N10)/100/3.6*1000000</f>
        <v>89.401011923329577</v>
      </c>
      <c r="G9" s="34"/>
      <c r="H9" s="33"/>
      <c r="I9" s="33"/>
      <c r="J9" s="33">
        <f>$C$29*('E Balans VL '!D10+'E Balans VL '!E10)/100/3.6*1000000</f>
        <v>0</v>
      </c>
      <c r="K9" s="33"/>
      <c r="L9" s="33"/>
      <c r="M9" s="33"/>
      <c r="N9" s="33">
        <f>$C$29*'E Balans VL '!Y10/100/3.6*1000000</f>
        <v>3.1371945395014844</v>
      </c>
      <c r="O9" s="33"/>
      <c r="P9" s="33"/>
      <c r="R9" s="32"/>
    </row>
    <row r="10" spans="1:18">
      <c r="A10" s="32" t="s">
        <v>49</v>
      </c>
      <c r="B10" s="37">
        <f t="shared" si="0"/>
        <v>5704.1851556362799</v>
      </c>
      <c r="C10" s="33"/>
      <c r="D10" s="37">
        <f>IF(ISERROR(TER_ander_gas_kWh/1000),0,TER_ander_gas_kWh/1000)*0.902</f>
        <v>2105.7526607749437</v>
      </c>
      <c r="E10" s="33">
        <f>$C$30*'E Balans VL '!I14/100/3.6*1000000</f>
        <v>34.725075467404004</v>
      </c>
      <c r="F10" s="33">
        <f>$C$30*('E Balans VL '!L14+'E Balans VL '!N14)/100/3.6*1000000</f>
        <v>1510.1797517498585</v>
      </c>
      <c r="G10" s="34"/>
      <c r="H10" s="33"/>
      <c r="I10" s="33"/>
      <c r="J10" s="33">
        <f>$C$30*('E Balans VL '!D14+'E Balans VL '!E14)/100/3.6*1000000</f>
        <v>0</v>
      </c>
      <c r="K10" s="33"/>
      <c r="L10" s="33"/>
      <c r="M10" s="33"/>
      <c r="N10" s="33">
        <f>$C$30*'E Balans VL '!Y14/100/3.6*1000000</f>
        <v>1188.0338370717379</v>
      </c>
      <c r="O10" s="33"/>
      <c r="P10" s="33"/>
      <c r="R10" s="32"/>
    </row>
    <row r="11" spans="1:18">
      <c r="A11" s="32" t="s">
        <v>54</v>
      </c>
      <c r="B11" s="37">
        <f t="shared" si="0"/>
        <v>713.27088920810797</v>
      </c>
      <c r="C11" s="33"/>
      <c r="D11" s="37">
        <f>IF(ISERROR(TER_onderwijs_gas_kWh/1000),0,TER_onderwijs_gas_kWh/1000)*0.902</f>
        <v>3898.0635427679485</v>
      </c>
      <c r="E11" s="33">
        <f>$C$31*'E Balans VL '!I11/100/3.6*1000000</f>
        <v>0.88523092847939788</v>
      </c>
      <c r="F11" s="33">
        <f>$C$31*('E Balans VL '!L11+'E Balans VL '!N11)/100/3.6*1000000</f>
        <v>840.6270874097338</v>
      </c>
      <c r="G11" s="34"/>
      <c r="H11" s="33"/>
      <c r="I11" s="33"/>
      <c r="J11" s="33">
        <f>$C$31*('E Balans VL '!D11+'E Balans VL '!E11)/100/3.6*1000000</f>
        <v>0</v>
      </c>
      <c r="K11" s="33"/>
      <c r="L11" s="33"/>
      <c r="M11" s="33"/>
      <c r="N11" s="33">
        <f>$C$31*'E Balans VL '!Y11/100/3.6*1000000</f>
        <v>3.423633651021023</v>
      </c>
      <c r="O11" s="33"/>
      <c r="P11" s="33"/>
      <c r="R11" s="32"/>
    </row>
    <row r="12" spans="1:18">
      <c r="A12" s="32" t="s">
        <v>249</v>
      </c>
      <c r="B12" s="37">
        <f t="shared" si="0"/>
        <v>7132.8112843642493</v>
      </c>
      <c r="C12" s="33"/>
      <c r="D12" s="37">
        <f>IF(ISERROR(TER_rest_gas_kWh/1000),0,TER_rest_gas_kWh/1000)*0.902</f>
        <v>6728.160317354741</v>
      </c>
      <c r="E12" s="33">
        <f>$C$32*'E Balans VL '!I8/100/3.6*1000000</f>
        <v>152.82674771293455</v>
      </c>
      <c r="F12" s="33">
        <f>$C$32*('E Balans VL '!L8+'E Balans VL '!N8)/100/3.6*1000000</f>
        <v>1410.7639424753979</v>
      </c>
      <c r="G12" s="34"/>
      <c r="H12" s="33"/>
      <c r="I12" s="33"/>
      <c r="J12" s="33">
        <f>$C$32*('E Balans VL '!D8+'E Balans VL '!E8)/100/3.6*1000000</f>
        <v>0</v>
      </c>
      <c r="K12" s="33"/>
      <c r="L12" s="33"/>
      <c r="M12" s="33"/>
      <c r="N12" s="33">
        <f>$C$32*'E Balans VL '!Y8/100/3.6*1000000</f>
        <v>207.67671100305435</v>
      </c>
      <c r="O12" s="33"/>
      <c r="P12" s="33"/>
      <c r="R12" s="32"/>
    </row>
    <row r="13" spans="1:18">
      <c r="A13" s="16" t="s">
        <v>483</v>
      </c>
      <c r="B13" s="243">
        <f ca="1">'lokale energieproductie'!N38+'lokale energieproductie'!N31</f>
        <v>1341</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-3831.4285714285716</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42359.207117266582</v>
      </c>
      <c r="C16" s="21">
        <f ca="1">C5+C13+C14</f>
        <v>0</v>
      </c>
      <c r="D16" s="21">
        <f t="shared" ref="D16:N16" ca="1" si="1">MAX((D5+D13+D14),0)</f>
        <v>34467.761775317886</v>
      </c>
      <c r="E16" s="21">
        <f t="shared" si="1"/>
        <v>783.33259949802505</v>
      </c>
      <c r="F16" s="21">
        <f t="shared" ca="1" si="1"/>
        <v>8041.3333982656641</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0.21368589249303307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9051.5649781503489</v>
      </c>
      <c r="C20" s="23">
        <f t="shared" ref="C20:P20" ca="1" si="2">C16*C18</f>
        <v>0</v>
      </c>
      <c r="D20" s="23">
        <f t="shared" ca="1" si="2"/>
        <v>6962.4878786142135</v>
      </c>
      <c r="E20" s="23">
        <f t="shared" si="2"/>
        <v>177.81650008605169</v>
      </c>
      <c r="F20" s="23">
        <f t="shared" ca="1" si="2"/>
        <v>2147.0360173369322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8323.7411996249502</v>
      </c>
      <c r="C26" s="39">
        <f>IF(ISERROR(B26*3.6/1000000/'E Balans VL '!Z12*100),0,B26*3.6/1000000/'E Balans VL '!Z12*100)</f>
        <v>0.17309807215471559</v>
      </c>
      <c r="D26" s="233" t="s">
        <v>676</v>
      </c>
      <c r="F26" s="6"/>
    </row>
    <row r="27" spans="1:18">
      <c r="A27" s="228" t="s">
        <v>52</v>
      </c>
      <c r="B27" s="33">
        <f>IF(ISERROR(TER_horeca_ele_kWh/1000),0,TER_horeca_ele_kWh/1000)</f>
        <v>4262.8174469670503</v>
      </c>
      <c r="C27" s="39">
        <f>IF(ISERROR(B27*3.6/1000000/'E Balans VL '!Z9*100),0,B27*3.6/1000000/'E Balans VL '!Z9*100)</f>
        <v>0.35061976012100615</v>
      </c>
      <c r="D27" s="233" t="s">
        <v>676</v>
      </c>
      <c r="F27" s="6"/>
    </row>
    <row r="28" spans="1:18">
      <c r="A28" s="168" t="s">
        <v>51</v>
      </c>
      <c r="B28" s="33">
        <f>IF(ISERROR(TER_handel_ele_kWh/1000),0,TER_handel_ele_kWh/1000)</f>
        <v>14467.627358760201</v>
      </c>
      <c r="C28" s="39">
        <f>IF(ISERROR(B28*3.6/1000000/'E Balans VL '!Z13*100),0,B28*3.6/1000000/'E Balans VL '!Z13*100)</f>
        <v>0.40046109694517101</v>
      </c>
      <c r="D28" s="233" t="s">
        <v>676</v>
      </c>
      <c r="F28" s="6"/>
    </row>
    <row r="29" spans="1:18">
      <c r="A29" s="228" t="s">
        <v>50</v>
      </c>
      <c r="B29" s="33">
        <f>IF(ISERROR(TER_gezond_ele_kWh/1000),0,TER_gezond_ele_kWh/1000)</f>
        <v>413.75378270573799</v>
      </c>
      <c r="C29" s="39">
        <f>IF(ISERROR(B29*3.6/1000000/'E Balans VL '!Z10*100),0,B29*3.6/1000000/'E Balans VL '!Z10*100)</f>
        <v>4.7185615737966993E-2</v>
      </c>
      <c r="D29" s="233" t="s">
        <v>676</v>
      </c>
      <c r="F29" s="6"/>
    </row>
    <row r="30" spans="1:18">
      <c r="A30" s="228" t="s">
        <v>49</v>
      </c>
      <c r="B30" s="33">
        <f>IF(ISERROR(TER_ander_ele_kWh/1000),0,TER_ander_ele_kWh/1000)</f>
        <v>5704.1851556362799</v>
      </c>
      <c r="C30" s="39">
        <f>IF(ISERROR(B30*3.6/1000000/'E Balans VL '!Z14*100),0,B30*3.6/1000000/'E Balans VL '!Z14*100)</f>
        <v>0.44151940379463717</v>
      </c>
      <c r="D30" s="233" t="s">
        <v>676</v>
      </c>
      <c r="F30" s="6"/>
    </row>
    <row r="31" spans="1:18">
      <c r="A31" s="228" t="s">
        <v>54</v>
      </c>
      <c r="B31" s="33">
        <f>IF(ISERROR(TER_onderwijs_ele_kWh/1000),0,TER_onderwijs_ele_kWh/1000)</f>
        <v>713.27088920810797</v>
      </c>
      <c r="C31" s="39">
        <f>IF(ISERROR(B31*3.6/1000000/'E Balans VL '!Z11*100),0,B31*3.6/1000000/'E Balans VL '!Z11*100)</f>
        <v>0.22224171704128678</v>
      </c>
      <c r="D31" s="233" t="s">
        <v>676</v>
      </c>
    </row>
    <row r="32" spans="1:18">
      <c r="A32" s="228" t="s">
        <v>249</v>
      </c>
      <c r="B32" s="33">
        <f>IF(ISERROR(TER_rest_ele_kWh/1000),0,TER_rest_ele_kWh/1000)</f>
        <v>7132.8112843642493</v>
      </c>
      <c r="C32" s="39">
        <f>IF(ISERROR(B32*3.6/1000000/'E Balans VL '!Z8*100),0,B32*3.6/1000000/'E Balans VL '!Z8*100)</f>
        <v>5.8817730338334928E-2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3</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150376.89357074967</v>
      </c>
      <c r="C5" s="17">
        <f>IF(ISERROR('Eigen informatie GS &amp; warmtenet'!B59),0,'Eigen informatie GS &amp; warmtenet'!B59)</f>
        <v>0</v>
      </c>
      <c r="D5" s="30">
        <f>SUM(D6:D15)</f>
        <v>59285.63263947612</v>
      </c>
      <c r="E5" s="17">
        <f>SUM(E6:E15)</f>
        <v>1049.140254134421</v>
      </c>
      <c r="F5" s="17">
        <f>SUM(F6:F15)</f>
        <v>19498.095179080352</v>
      </c>
      <c r="G5" s="18"/>
      <c r="H5" s="17"/>
      <c r="I5" s="17"/>
      <c r="J5" s="17">
        <f>SUM(J6:J15)</f>
        <v>602.25774730033743</v>
      </c>
      <c r="K5" s="17"/>
      <c r="L5" s="17"/>
      <c r="M5" s="17"/>
      <c r="N5" s="17">
        <f>SUM(N6:N15)</f>
        <v>2010.1168315609843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382.46098458982397</v>
      </c>
      <c r="C8" s="33"/>
      <c r="D8" s="37">
        <f>IF( ISERROR(IND_metaal_Gas_kWH/1000),0,IND_metaal_Gas_kWH/1000)*0.902</f>
        <v>89.318822560582248</v>
      </c>
      <c r="E8" s="33">
        <f>C30*'E Balans VL '!I18/100/3.6*1000000</f>
        <v>2.6874689525242226</v>
      </c>
      <c r="F8" s="33">
        <f>C30*'E Balans VL '!L18/100/3.6*1000000+C30*'E Balans VL '!N18/100/3.6*1000000</f>
        <v>41.991978490957443</v>
      </c>
      <c r="G8" s="34"/>
      <c r="H8" s="33"/>
      <c r="I8" s="33"/>
      <c r="J8" s="40">
        <f>C30*'E Balans VL '!D18/100/3.6*1000000+C30*'E Balans VL '!E18/100/3.6*1000000</f>
        <v>7.8909944653475188</v>
      </c>
      <c r="K8" s="33"/>
      <c r="L8" s="33"/>
      <c r="M8" s="33"/>
      <c r="N8" s="33">
        <f>C30*'E Balans VL '!Y18/100/3.6*1000000</f>
        <v>1.4334913150532254</v>
      </c>
      <c r="O8" s="33"/>
      <c r="P8" s="33"/>
      <c r="R8" s="32"/>
    </row>
    <row r="9" spans="1:18">
      <c r="A9" s="6" t="s">
        <v>32</v>
      </c>
      <c r="B9" s="37">
        <f t="shared" si="0"/>
        <v>1700.22858895177</v>
      </c>
      <c r="C9" s="33"/>
      <c r="D9" s="37">
        <f>IF( ISERROR(IND_andere_gas_kWh/1000),0,IND_andere_gas_kWh/1000)*0.902</f>
        <v>1166.5621860728309</v>
      </c>
      <c r="E9" s="33">
        <f>C31*'E Balans VL '!I19/100/3.6*1000000</f>
        <v>28.557421997968035</v>
      </c>
      <c r="F9" s="33">
        <f>C31*'E Balans VL '!L19/100/3.6*1000000+C31*'E Balans VL '!N19/100/3.6*1000000</f>
        <v>1329.1418730527105</v>
      </c>
      <c r="G9" s="34"/>
      <c r="H9" s="33"/>
      <c r="I9" s="33"/>
      <c r="J9" s="40">
        <f>C31*'E Balans VL '!D19/100/3.6*1000000+C31*'E Balans VL '!E19/100/3.6*1000000</f>
        <v>0.1533456101512537</v>
      </c>
      <c r="K9" s="33"/>
      <c r="L9" s="33"/>
      <c r="M9" s="33"/>
      <c r="N9" s="33">
        <f>C31*'E Balans VL '!Y19/100/3.6*1000000</f>
        <v>126.01421620757588</v>
      </c>
      <c r="O9" s="33"/>
      <c r="P9" s="33"/>
      <c r="R9" s="32"/>
    </row>
    <row r="10" spans="1:18">
      <c r="A10" s="6" t="s">
        <v>40</v>
      </c>
      <c r="B10" s="37">
        <f t="shared" si="0"/>
        <v>7670.2099010270795</v>
      </c>
      <c r="C10" s="33"/>
      <c r="D10" s="37">
        <f>IF( ISERROR(IND_voed_gas_kWh/1000),0,IND_voed_gas_kWh/1000)*0.902</f>
        <v>721.22575083772972</v>
      </c>
      <c r="E10" s="33">
        <f>C32*'E Balans VL '!I20/100/3.6*1000000</f>
        <v>69.979807781399941</v>
      </c>
      <c r="F10" s="33">
        <f>C32*'E Balans VL '!L20/100/3.6*1000000+C32*'E Balans VL '!N20/100/3.6*1000000</f>
        <v>1237.444767161343</v>
      </c>
      <c r="G10" s="34"/>
      <c r="H10" s="33"/>
      <c r="I10" s="33"/>
      <c r="J10" s="40">
        <f>C32*'E Balans VL '!D20/100/3.6*1000000+C32*'E Balans VL '!E20/100/3.6*1000000</f>
        <v>31.590953205461702</v>
      </c>
      <c r="K10" s="33"/>
      <c r="L10" s="33"/>
      <c r="M10" s="33"/>
      <c r="N10" s="33">
        <f>C32*'E Balans VL '!Y20/100/3.6*1000000</f>
        <v>112.20912272177199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12.194466104611099</v>
      </c>
      <c r="C13" s="33"/>
      <c r="D13" s="37">
        <f>IF( ISERROR(IND_papier_gas_kWh/1000),0,IND_papier_gas_kWh/1000)*0.902</f>
        <v>43.768350085892891</v>
      </c>
      <c r="E13" s="33">
        <f>C35*'E Balans VL '!I23/100/3.6*1000000</f>
        <v>0.37519189731673991</v>
      </c>
      <c r="F13" s="33">
        <f>C35*'E Balans VL '!L23/100/3.6*1000000+C35*'E Balans VL '!N23/100/3.6*1000000</f>
        <v>2.5893113254200686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57054.243839927003</v>
      </c>
      <c r="C14" s="33"/>
      <c r="D14" s="37">
        <f>IF( ISERROR(IND_chemie_gas_kWh/1000),0,IND_chemie_gas_kWh/1000)*0.902</f>
        <v>4955.7972143808274</v>
      </c>
      <c r="E14" s="33">
        <f>C36*'E Balans VL '!I24/100/3.6*1000000</f>
        <v>193.45318368030908</v>
      </c>
      <c r="F14" s="33">
        <f>C36*'E Balans VL '!L24/100/3.6*1000000+C36*'E Balans VL '!N24/100/3.6*1000000</f>
        <v>183.1008919319342</v>
      </c>
      <c r="G14" s="34"/>
      <c r="H14" s="33"/>
      <c r="I14" s="33"/>
      <c r="J14" s="40">
        <f>C36*'E Balans VL '!D24/100/3.6*1000000+C36*'E Balans VL '!E24/100/3.6*1000000</f>
        <v>0</v>
      </c>
      <c r="K14" s="33"/>
      <c r="L14" s="33"/>
      <c r="M14" s="33"/>
      <c r="N14" s="33">
        <f>C36*'E Balans VL '!Y24/100/3.6*1000000</f>
        <v>266.77018222030767</v>
      </c>
      <c r="O14" s="33"/>
      <c r="P14" s="33"/>
      <c r="R14" s="32"/>
    </row>
    <row r="15" spans="1:18">
      <c r="A15" s="6" t="s">
        <v>259</v>
      </c>
      <c r="B15" s="37">
        <f t="shared" si="0"/>
        <v>83557.555790149403</v>
      </c>
      <c r="C15" s="33"/>
      <c r="D15" s="37">
        <f>IF( ISERROR(IND_rest_gas_kWh/1000),0,IND_rest_gas_kWh/1000)*0.902</f>
        <v>52308.960315538257</v>
      </c>
      <c r="E15" s="33">
        <f>C37*'E Balans VL '!I15/100/3.6*1000000</f>
        <v>754.08717982490293</v>
      </c>
      <c r="F15" s="33">
        <f>C37*'E Balans VL '!L15/100/3.6*1000000+C37*'E Balans VL '!N15/100/3.6*1000000</f>
        <v>16703.826357117989</v>
      </c>
      <c r="G15" s="34"/>
      <c r="H15" s="33"/>
      <c r="I15" s="33"/>
      <c r="J15" s="40">
        <f>C37*'E Balans VL '!D15/100/3.6*1000000+C37*'E Balans VL '!E15/100/3.6*1000000</f>
        <v>562.62245401937696</v>
      </c>
      <c r="K15" s="33"/>
      <c r="L15" s="33"/>
      <c r="M15" s="33"/>
      <c r="N15" s="33">
        <f>C37*'E Balans VL '!Y15/100/3.6*1000000</f>
        <v>1503.6898190962756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150376.89357074967</v>
      </c>
      <c r="C18" s="21">
        <f>C5+C16</f>
        <v>0</v>
      </c>
      <c r="D18" s="21">
        <f>MAX((D5+D16),0)</f>
        <v>59285.63263947612</v>
      </c>
      <c r="E18" s="21">
        <f>MAX((E5+E16),0)</f>
        <v>1049.140254134421</v>
      </c>
      <c r="F18" s="21">
        <f>MAX((F5+F16),0)</f>
        <v>19498.095179080352</v>
      </c>
      <c r="G18" s="21"/>
      <c r="H18" s="21"/>
      <c r="I18" s="21"/>
      <c r="J18" s="21">
        <f>MAX((J5+J16),0)</f>
        <v>602.25774730033743</v>
      </c>
      <c r="K18" s="21"/>
      <c r="L18" s="21">
        <f>MAX((L5+L16),0)</f>
        <v>0</v>
      </c>
      <c r="M18" s="21"/>
      <c r="N18" s="21">
        <f>MAX((N5+N16),0)</f>
        <v>2010.1168315609843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0.21368589249303307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32133.420712995492</v>
      </c>
      <c r="C22" s="23">
        <f ca="1">C18*C20</f>
        <v>0</v>
      </c>
      <c r="D22" s="23">
        <f>D18*D20</f>
        <v>11975.697793174177</v>
      </c>
      <c r="E22" s="23">
        <f>E18*E20</f>
        <v>238.15483768851357</v>
      </c>
      <c r="F22" s="23">
        <f>F18*F20</f>
        <v>5205.9914128144546</v>
      </c>
      <c r="G22" s="23"/>
      <c r="H22" s="23"/>
      <c r="I22" s="23"/>
      <c r="J22" s="23">
        <f>J18*J20</f>
        <v>213.19924254431945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382.46098458982397</v>
      </c>
      <c r="C30" s="39">
        <f>IF(ISERROR(B30*3.6/1000000/'E Balans VL '!Z18*100),0,B30*3.6/1000000/'E Balans VL '!Z18*100)</f>
        <v>2.5460661294392867E-2</v>
      </c>
      <c r="D30" s="233" t="s">
        <v>676</v>
      </c>
    </row>
    <row r="31" spans="1:18">
      <c r="A31" s="6" t="s">
        <v>32</v>
      </c>
      <c r="B31" s="37">
        <f>IF( ISERROR(IND_ander_ele_kWh/1000),0,IND_ander_ele_kWh/1000)</f>
        <v>1700.22858895177</v>
      </c>
      <c r="C31" s="39">
        <f>IF(ISERROR(B31*3.6/1000000/'E Balans VL '!Z19*100),0,B31*3.6/1000000/'E Balans VL '!Z19*100)</f>
        <v>7.5364395432698059E-2</v>
      </c>
      <c r="D31" s="233" t="s">
        <v>676</v>
      </c>
    </row>
    <row r="32" spans="1:18">
      <c r="A32" s="168" t="s">
        <v>40</v>
      </c>
      <c r="B32" s="37">
        <f>IF( ISERROR(IND_voed_ele_kWh/1000),0,IND_voed_ele_kWh/1000)</f>
        <v>7670.2099010270795</v>
      </c>
      <c r="C32" s="39">
        <f>IF(ISERROR(B32*3.6/1000000/'E Balans VL '!Z20*100),0,B32*3.6/1000000/'E Balans VL '!Z20*100)</f>
        <v>0.2562070136787678</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12.194466104611099</v>
      </c>
      <c r="C35" s="39">
        <f>IF(ISERROR(B35*3.6/1000000/'E Balans VL '!Z22*100),0,B35*3.6/1000000/'E Balans VL '!Z22*100)</f>
        <v>2.3716897087507987E-3</v>
      </c>
      <c r="D35" s="233" t="s">
        <v>676</v>
      </c>
    </row>
    <row r="36" spans="1:5">
      <c r="A36" s="168" t="s">
        <v>33</v>
      </c>
      <c r="B36" s="37">
        <f>IF( ISERROR(IND_chemie_ele_kWh/1000),0,IND_chemie_ele_kWh/1000)</f>
        <v>57054.243839927003</v>
      </c>
      <c r="C36" s="39">
        <f>IF(ISERROR(B36*3.6/1000000/'E Balans VL '!Z24*100),0,B36*3.6/1000000/'E Balans VL '!Z24*100)</f>
        <v>1.3397873151702235</v>
      </c>
      <c r="D36" s="233" t="s">
        <v>676</v>
      </c>
    </row>
    <row r="37" spans="1:5">
      <c r="A37" s="168" t="s">
        <v>259</v>
      </c>
      <c r="B37" s="37">
        <f>IF( ISERROR(IND_rest_ele_kWh/1000),0,IND_rest_ele_kWh/1000)</f>
        <v>83557.555790149403</v>
      </c>
      <c r="C37" s="39">
        <f>IF(ISERROR(B37*3.6/1000000/'E Balans VL '!Z15*100),0,B37*3.6/1000000/'E Balans VL '!Z15*100)</f>
        <v>0.62153208817613714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3494.6323970917883</v>
      </c>
      <c r="C5" s="17">
        <f>'Eigen informatie GS &amp; warmtenet'!B60</f>
        <v>0</v>
      </c>
      <c r="D5" s="30">
        <f>IF(ISERROR(SUM(LB_lb_gas_kWh,LB_rest_gas_kWh)/1000),0,SUM(LB_lb_gas_kWh,LB_rest_gas_kWh)/1000)*0.902</f>
        <v>16642.806818499248</v>
      </c>
      <c r="E5" s="17">
        <f>B17*'E Balans VL '!I25/3.6*1000000/100</f>
        <v>31.491072195478868</v>
      </c>
      <c r="F5" s="17">
        <f>B17*('E Balans VL '!L25/3.6*1000000+'E Balans VL '!N25/3.6*1000000)/100</f>
        <v>13094.494174661688</v>
      </c>
      <c r="G5" s="18"/>
      <c r="H5" s="17"/>
      <c r="I5" s="17"/>
      <c r="J5" s="17">
        <f>('E Balans VL '!D25+'E Balans VL '!E25)/3.6*1000000*landbouw!B17/100</f>
        <v>353.64234518968061</v>
      </c>
      <c r="K5" s="17"/>
      <c r="L5" s="17">
        <f>L6*(-1)</f>
        <v>0</v>
      </c>
      <c r="M5" s="17"/>
      <c r="N5" s="17">
        <f>N6*(-1)</f>
        <v>0</v>
      </c>
      <c r="O5" s="17"/>
      <c r="P5" s="17"/>
      <c r="R5" s="32"/>
    </row>
    <row r="6" spans="1:18">
      <c r="A6" s="16" t="s">
        <v>483</v>
      </c>
      <c r="B6" s="17" t="s">
        <v>204</v>
      </c>
      <c r="C6" s="17">
        <f>'lokale energieproductie'!O39+'lokale energieproductie'!O32</f>
        <v>7515</v>
      </c>
      <c r="D6" s="302">
        <f>('lokale energieproductie'!P32+'lokale energieproductie'!P39)*(-1)</f>
        <v>-15030.000000000002</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3494.6323970917883</v>
      </c>
      <c r="C8" s="21">
        <f>C5+C6</f>
        <v>7515</v>
      </c>
      <c r="D8" s="21">
        <f>MAX((D5+D6),0)</f>
        <v>1612.8068184992462</v>
      </c>
      <c r="E8" s="21">
        <f>MAX((E5+E6),0)</f>
        <v>31.491072195478868</v>
      </c>
      <c r="F8" s="21">
        <f>MAX((F5+F6),0)</f>
        <v>13094.494174661688</v>
      </c>
      <c r="G8" s="21"/>
      <c r="H8" s="21"/>
      <c r="I8" s="21"/>
      <c r="J8" s="21">
        <f>MAX((J5+J6),0)</f>
        <v>353.64234518968061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0.21368589249303307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746.75364270762634</v>
      </c>
      <c r="C12" s="23">
        <f ca="1">C8*C10</f>
        <v>1785.9176470588238</v>
      </c>
      <c r="D12" s="23">
        <f>D8*D10</f>
        <v>325.78697733684777</v>
      </c>
      <c r="E12" s="23">
        <f>E8*E10</f>
        <v>7.1484733883737031</v>
      </c>
      <c r="F12" s="23">
        <f>F8*F10</f>
        <v>3496.229944634671</v>
      </c>
      <c r="G12" s="23"/>
      <c r="H12" s="23"/>
      <c r="I12" s="23"/>
      <c r="J12" s="23">
        <f>J8*J10</f>
        <v>125.18939019714693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0.53789138478398413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344.91496753511257</v>
      </c>
      <c r="C26" s="243">
        <f>B26*'GWP N2O_CH4'!B5</f>
        <v>7243.2143182373638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91.891048183195267</v>
      </c>
      <c r="C27" s="243">
        <f>B27*'GWP N2O_CH4'!B5</f>
        <v>1929.7120118471007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7.05739721715205</v>
      </c>
      <c r="C28" s="243">
        <f>B28*'GWP N2O_CH4'!B4</f>
        <v>2187.7931373171355</v>
      </c>
      <c r="D28" s="50"/>
    </row>
    <row r="29" spans="1:4">
      <c r="A29" s="41" t="s">
        <v>266</v>
      </c>
      <c r="B29" s="243">
        <f>B34*'ha_N2O bodem landbouw'!B4</f>
        <v>12.616376540159214</v>
      </c>
      <c r="C29" s="243">
        <f>B29*'GWP N2O_CH4'!B4</f>
        <v>3911.0767274493564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3.2756026335666747E-3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8.7672735933379985E-6</v>
      </c>
      <c r="C5" s="431" t="s">
        <v>204</v>
      </c>
      <c r="D5" s="416">
        <f>SUM(D6:D11)</f>
        <v>2.7985586481822339E-5</v>
      </c>
      <c r="E5" s="416">
        <f>SUM(E6:E11)</f>
        <v>3.1275463202564795E-3</v>
      </c>
      <c r="F5" s="429" t="s">
        <v>204</v>
      </c>
      <c r="G5" s="416">
        <f>SUM(G6:G11)</f>
        <v>0.59078492777898428</v>
      </c>
      <c r="H5" s="416">
        <f>SUM(H6:H11)</f>
        <v>9.8938113642972086E-2</v>
      </c>
      <c r="I5" s="431" t="s">
        <v>204</v>
      </c>
      <c r="J5" s="431" t="s">
        <v>204</v>
      </c>
      <c r="K5" s="431" t="s">
        <v>204</v>
      </c>
      <c r="L5" s="431" t="s">
        <v>204</v>
      </c>
      <c r="M5" s="416">
        <f>SUM(M6:M11)</f>
        <v>3.0004161194891757E-2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4.3391312444295922E-6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1.3696367387481732E-5</v>
      </c>
      <c r="E6" s="419">
        <f>vkm_GW_PW*SUMIFS(TableVerdeelsleutelVkm[LPG],TableVerdeelsleutelVkm[Voertuigtype],"Lichte voertuigen")*SUMIFS(TableECFTransport[EnergieConsumptieFactor (PJ per km)],TableECFTransport[Index],CONCATENATE($A6,"_LPG_LPG"))</f>
        <v>1.4224836583679251E-3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0.18987666445500478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4.7688835675962944E-2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1.0374612702190502E-2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1.4014615143113636E-7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6.3174455413863628E-2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1.8588675077262377E-6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2.721588640617765E-3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8.0814680180573912E-7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4.3265316917889611E-6</v>
      </c>
      <c r="E8" s="419">
        <f>vkm_NGW_PW*SUMIFS(TableVerdeelsleutelVkm[LPG],TableVerdeelsleutelVkm[Voertuigtype],"Lichte voertuigen")*SUMIFS(TableECFTransport[EnergieConsumptieFactor (PJ per km)],TableECFTransport[Index],CONCATENATE($A8,"_LPG_LPG"))</f>
        <v>4.2291908546535556E-4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5.3702205507566575E-2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1.4227681901165769E-2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2.9682769725594294E-3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5.5842061294897566E-9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3.4867498272381616E-3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8.9401570364220393E-8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1.5021040225698029E-4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3.1947497983304929E-6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9.9626874025516456E-6</v>
      </c>
      <c r="E10" s="419">
        <f>vkm_SW_PW*SUMIFS(TableVerdeelsleutelVkm[LPG],TableVerdeelsleutelVkm[Voertuigtype],"Lichte voertuigen")*SUMIFS(TableECFTransport[EnergieConsumptieFactor (PJ per km)],TableECFTransport[Index],CONCATENATE($A10,"_LPG_LPG"))</f>
        <v>1.282143576423199E-3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0.1589666134722818</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3.7015831840168573E-2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8.5518072522270949E-3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2.7951539121154877E-7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0.12157823910302935</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3.8159565967045333E-6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5.2376652250399839E-3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2.4353537759272221</v>
      </c>
      <c r="C14" s="21"/>
      <c r="D14" s="21">
        <f t="shared" ref="D14:M14" si="0">((D5)*10^9/3600)+D12</f>
        <v>7.7737740227284275</v>
      </c>
      <c r="E14" s="21">
        <f t="shared" si="0"/>
        <v>868.76286673791094</v>
      </c>
      <c r="F14" s="21"/>
      <c r="G14" s="21">
        <f t="shared" si="0"/>
        <v>164106.9243830512</v>
      </c>
      <c r="H14" s="21">
        <f t="shared" si="0"/>
        <v>27482.809345270023</v>
      </c>
      <c r="I14" s="21"/>
      <c r="J14" s="21"/>
      <c r="K14" s="21"/>
      <c r="L14" s="21"/>
      <c r="M14" s="21">
        <f t="shared" si="0"/>
        <v>8334.489220803267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0.21368589249303307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0.52040074514528656</v>
      </c>
      <c r="C18" s="23"/>
      <c r="D18" s="23">
        <f t="shared" ref="D18:M18" si="1">D14*D16</f>
        <v>1.5703023525911424</v>
      </c>
      <c r="E18" s="23">
        <f t="shared" si="1"/>
        <v>197.2091707495058</v>
      </c>
      <c r="F18" s="23"/>
      <c r="G18" s="23">
        <f t="shared" si="1"/>
        <v>43816.548810274675</v>
      </c>
      <c r="H18" s="23">
        <f t="shared" si="1"/>
        <v>6843.2195269722361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3.3598486893617105E-5</v>
      </c>
      <c r="C50" s="313">
        <f t="shared" ref="C50:P50" si="2">SUM(C51:C52)</f>
        <v>0</v>
      </c>
      <c r="D50" s="313">
        <f t="shared" si="2"/>
        <v>0</v>
      </c>
      <c r="E50" s="313">
        <f t="shared" si="2"/>
        <v>0</v>
      </c>
      <c r="F50" s="313">
        <f t="shared" si="2"/>
        <v>0</v>
      </c>
      <c r="G50" s="313">
        <f t="shared" si="2"/>
        <v>7.2888544075208998E-3</v>
      </c>
      <c r="H50" s="313">
        <f t="shared" si="2"/>
        <v>0</v>
      </c>
      <c r="I50" s="313">
        <f t="shared" si="2"/>
        <v>0</v>
      </c>
      <c r="J50" s="313">
        <f t="shared" si="2"/>
        <v>0</v>
      </c>
      <c r="K50" s="313">
        <f t="shared" si="2"/>
        <v>0</v>
      </c>
      <c r="L50" s="313">
        <f t="shared" si="2"/>
        <v>0</v>
      </c>
      <c r="M50" s="313">
        <f t="shared" si="2"/>
        <v>3.1208074742513882E-4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3.3598486893617105E-5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7.2888544075208998E-3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3.1208074742513882E-4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9.3329130260047517</v>
      </c>
      <c r="C54" s="21">
        <f t="shared" ref="C54:P54" si="3">(C50)*10^9/3600</f>
        <v>0</v>
      </c>
      <c r="D54" s="21">
        <f t="shared" si="3"/>
        <v>0</v>
      </c>
      <c r="E54" s="21">
        <f t="shared" si="3"/>
        <v>0</v>
      </c>
      <c r="F54" s="21">
        <f t="shared" si="3"/>
        <v>0</v>
      </c>
      <c r="G54" s="21">
        <f t="shared" si="3"/>
        <v>2024.6817798669165</v>
      </c>
      <c r="H54" s="21">
        <f t="shared" si="3"/>
        <v>0</v>
      </c>
      <c r="I54" s="21">
        <f t="shared" si="3"/>
        <v>0</v>
      </c>
      <c r="J54" s="21">
        <f t="shared" si="3"/>
        <v>0</v>
      </c>
      <c r="K54" s="21">
        <f t="shared" si="3"/>
        <v>0</v>
      </c>
      <c r="L54" s="21">
        <f t="shared" si="3"/>
        <v>0</v>
      </c>
      <c r="M54" s="21">
        <f t="shared" si="3"/>
        <v>86.689096506983006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0.21368589249303307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1.9943118495216794</v>
      </c>
      <c r="C58" s="23">
        <f t="shared" ref="C58:P58" ca="1" si="4">C54*C56</f>
        <v>0</v>
      </c>
      <c r="D58" s="23">
        <f t="shared" si="4"/>
        <v>0</v>
      </c>
      <c r="E58" s="23">
        <f t="shared" si="4"/>
        <v>0</v>
      </c>
      <c r="F58" s="23">
        <f t="shared" si="4"/>
        <v>0</v>
      </c>
      <c r="G58" s="23">
        <f t="shared" si="4"/>
        <v>540.59003522446676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7080.9973732789276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5260.5</v>
      </c>
      <c r="C8" s="542">
        <f>B48</f>
        <v>6188.8235294117649</v>
      </c>
      <c r="D8" s="920"/>
      <c r="E8" s="920">
        <f>E48</f>
        <v>0</v>
      </c>
      <c r="F8" s="921"/>
      <c r="G8" s="543"/>
      <c r="H8" s="920">
        <f>I48</f>
        <v>0</v>
      </c>
      <c r="I8" s="920">
        <f>G48+F48</f>
        <v>0</v>
      </c>
      <c r="J8" s="920">
        <f>H48+D48+C48</f>
        <v>0</v>
      </c>
      <c r="K8" s="920"/>
      <c r="L8" s="920"/>
      <c r="M8" s="920"/>
      <c r="N8" s="544"/>
      <c r="O8" s="545">
        <f>C8*$C$12+D8*$D$12+E8*$E$12+F8*$F$12+G8*$G$12+H8*$H$12+I8*$I$12+J8*$J$12</f>
        <v>1250.1423529411766</v>
      </c>
      <c r="P8" s="1181"/>
      <c r="Q8" s="1182"/>
      <c r="S8" s="953"/>
      <c r="T8" s="1169"/>
      <c r="U8" s="1169"/>
    </row>
    <row r="9" spans="1:21" s="530" customFormat="1" ht="17.45" customHeight="1" thickBot="1">
      <c r="A9" s="546" t="s">
        <v>237</v>
      </c>
      <c r="B9" s="957">
        <f>N36+'Eigen informatie GS &amp; warmtenet'!B12</f>
        <v>1341</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13682.497373278928</v>
      </c>
      <c r="C10" s="554">
        <f t="shared" ref="C10:L10" si="0">SUM(C8:C9)</f>
        <v>6188.8235294117649</v>
      </c>
      <c r="D10" s="554">
        <f t="shared" si="0"/>
        <v>0</v>
      </c>
      <c r="E10" s="554">
        <f t="shared" si="0"/>
        <v>0</v>
      </c>
      <c r="F10" s="554">
        <f t="shared" si="0"/>
        <v>0</v>
      </c>
      <c r="G10" s="554">
        <f t="shared" si="0"/>
        <v>0</v>
      </c>
      <c r="H10" s="554">
        <f t="shared" si="0"/>
        <v>0</v>
      </c>
      <c r="I10" s="554">
        <f t="shared" si="0"/>
        <v>0</v>
      </c>
      <c r="J10" s="554">
        <f t="shared" si="0"/>
        <v>3831.4285714285716</v>
      </c>
      <c r="K10" s="554">
        <f t="shared" si="0"/>
        <v>0</v>
      </c>
      <c r="L10" s="554">
        <f t="shared" si="0"/>
        <v>0</v>
      </c>
      <c r="M10" s="915"/>
      <c r="N10" s="915"/>
      <c r="O10" s="555">
        <f>SUM(O4:O9)</f>
        <v>1250.1423529411766</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7515</v>
      </c>
      <c r="C17" s="566">
        <f>B49</f>
        <v>8841.176470588236</v>
      </c>
      <c r="D17" s="567"/>
      <c r="E17" s="567">
        <f>E49</f>
        <v>0</v>
      </c>
      <c r="F17" s="568"/>
      <c r="G17" s="569"/>
      <c r="H17" s="566">
        <f>I49</f>
        <v>0</v>
      </c>
      <c r="I17" s="567">
        <f>G49+F49</f>
        <v>0</v>
      </c>
      <c r="J17" s="567">
        <f>H49+D49+C49</f>
        <v>0</v>
      </c>
      <c r="K17" s="567"/>
      <c r="L17" s="567"/>
      <c r="M17" s="567"/>
      <c r="N17" s="916"/>
      <c r="O17" s="570">
        <f>C17*$C$22+E17*$E$22+H17*$H$22+I17*$I$22+J17*$J$22+D17*$D$22+F17*$F$22+G17*$G$22+K17*$K$22+L17*$L$22</f>
        <v>1785.9176470588238</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7515</v>
      </c>
      <c r="C20" s="553">
        <f>SUM(C17:C19)</f>
        <v>8841.176470588236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1785.9176470588238</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13049</v>
      </c>
      <c r="C28" s="736">
        <v>2260</v>
      </c>
      <c r="D28" s="626"/>
      <c r="E28" s="625"/>
      <c r="F28" s="625"/>
      <c r="G28" s="625" t="s">
        <v>962</v>
      </c>
      <c r="H28" s="625" t="s">
        <v>963</v>
      </c>
      <c r="I28" s="625"/>
      <c r="J28" s="735"/>
      <c r="K28" s="735"/>
      <c r="L28" s="625" t="s">
        <v>964</v>
      </c>
      <c r="M28" s="625">
        <v>1169</v>
      </c>
      <c r="N28" s="625">
        <v>5260.5</v>
      </c>
      <c r="O28" s="625">
        <v>7515</v>
      </c>
      <c r="P28" s="625">
        <v>15030.000000000002</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1169</v>
      </c>
      <c r="N29" s="583">
        <f>SUM(N28:N28)</f>
        <v>5260.5</v>
      </c>
      <c r="O29" s="583">
        <f>SUM(O28:O28)</f>
        <v>7515</v>
      </c>
      <c r="P29" s="583">
        <f>SUM(P28:P28)</f>
        <v>15030.000000000002</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1169</v>
      </c>
      <c r="N32" s="588">
        <f>SUMIF($AA$28:$AA$28,"landbouw",N28:N28)</f>
        <v>5260.5</v>
      </c>
      <c r="O32" s="588">
        <f>SUMIF($AA$28:$AA$28,"landbouw",O28:O28)</f>
        <v>7515</v>
      </c>
      <c r="P32" s="588">
        <f>SUMIF($AA$28:$AA$28,"landbouw",P28:P28)</f>
        <v>15030.000000000002</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63.75" hidden="1">
      <c r="A35" s="580"/>
      <c r="B35" s="736">
        <v>13049</v>
      </c>
      <c r="C35" s="736">
        <v>2260</v>
      </c>
      <c r="D35" s="628"/>
      <c r="E35" s="628"/>
      <c r="F35" s="628"/>
      <c r="G35" s="628" t="s">
        <v>965</v>
      </c>
      <c r="H35" s="628" t="s">
        <v>966</v>
      </c>
      <c r="I35" s="628"/>
      <c r="J35" s="735"/>
      <c r="K35" s="735"/>
      <c r="L35" s="628" t="s">
        <v>967</v>
      </c>
      <c r="M35" s="628">
        <v>298</v>
      </c>
      <c r="N35" s="628">
        <v>1341</v>
      </c>
      <c r="O35" s="628">
        <v>0</v>
      </c>
      <c r="P35" s="628">
        <v>0</v>
      </c>
      <c r="Q35" s="628">
        <v>3831.4285714285716</v>
      </c>
      <c r="R35" s="628">
        <v>0</v>
      </c>
      <c r="S35" s="628">
        <v>0</v>
      </c>
      <c r="T35" s="628">
        <v>0</v>
      </c>
      <c r="U35" s="628">
        <v>0</v>
      </c>
      <c r="V35" s="628">
        <v>0</v>
      </c>
      <c r="W35" s="628">
        <v>0</v>
      </c>
      <c r="X35" s="628"/>
      <c r="Y35" s="628">
        <v>1600</v>
      </c>
      <c r="Z35" s="628" t="s">
        <v>49</v>
      </c>
      <c r="AA35" s="629" t="s">
        <v>149</v>
      </c>
    </row>
    <row r="36" spans="1:28" s="561" customFormat="1" hidden="1">
      <c r="A36" s="581" t="s">
        <v>269</v>
      </c>
      <c r="B36" s="582"/>
      <c r="C36" s="582"/>
      <c r="D36" s="582"/>
      <c r="E36" s="582"/>
      <c r="F36" s="582"/>
      <c r="G36" s="582"/>
      <c r="H36" s="582"/>
      <c r="I36" s="582"/>
      <c r="J36" s="582"/>
      <c r="K36" s="582"/>
      <c r="L36" s="583"/>
      <c r="M36" s="583">
        <f>SUM(M35:M35)</f>
        <v>298</v>
      </c>
      <c r="N36" s="583">
        <f>SUM(N35:N35)</f>
        <v>1341</v>
      </c>
      <c r="O36" s="583">
        <f>SUM(O35:O35)</f>
        <v>0</v>
      </c>
      <c r="P36" s="583">
        <f>SUM(P35:P35)</f>
        <v>0</v>
      </c>
      <c r="Q36" s="583">
        <f>SUM(Q35:Q35)</f>
        <v>3831.4285714285716</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298</v>
      </c>
      <c r="N38" s="583">
        <f>SUMIF($AA$35:$AA$36,"tertiair",N35:N36)</f>
        <v>1341</v>
      </c>
      <c r="O38" s="583">
        <f>SUMIF($AA$35:$AA$36,"tertiair",O35:O36)</f>
        <v>0</v>
      </c>
      <c r="P38" s="583">
        <f>SUMIF($AA$35:$AA$36,"tertiair",P35:P36)</f>
        <v>0</v>
      </c>
      <c r="Q38" s="583">
        <f>SUMIF($AA$35:$AA$36,"tertiair",Q35:Q36)</f>
        <v>3831.4285714285716</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6188.8235294117649</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8841.176470588236</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44495.908117266583</v>
      </c>
      <c r="D10" s="635">
        <f ca="1">tertiair!C16</f>
        <v>0</v>
      </c>
      <c r="E10" s="635">
        <f ca="1">tertiair!D16</f>
        <v>34467.761775317886</v>
      </c>
      <c r="F10" s="635">
        <f>tertiair!E16</f>
        <v>783.33259949802505</v>
      </c>
      <c r="G10" s="635">
        <f ca="1">tertiair!F16</f>
        <v>8041.3333982656641</v>
      </c>
      <c r="H10" s="635">
        <f>tertiair!G16</f>
        <v>0</v>
      </c>
      <c r="I10" s="635">
        <f>tertiair!H16</f>
        <v>0</v>
      </c>
      <c r="J10" s="635">
        <f>tertiair!I16</f>
        <v>0</v>
      </c>
      <c r="K10" s="635">
        <f>tertiair!J16</f>
        <v>0</v>
      </c>
      <c r="L10" s="635">
        <f>tertiair!K16</f>
        <v>0</v>
      </c>
      <c r="M10" s="635">
        <f ca="1">tertiair!L16</f>
        <v>0</v>
      </c>
      <c r="N10" s="635">
        <f>tertiair!M16</f>
        <v>0</v>
      </c>
      <c r="O10" s="635">
        <f ca="1">tertiair!N16</f>
        <v>0</v>
      </c>
      <c r="P10" s="635">
        <f>tertiair!O16</f>
        <v>4.6900000000000004</v>
      </c>
      <c r="Q10" s="636">
        <f>tertiair!P16</f>
        <v>0</v>
      </c>
      <c r="R10" s="638">
        <f ca="1">SUM(C10:Q10)</f>
        <v>87793.025890348159</v>
      </c>
      <c r="S10" s="67"/>
    </row>
    <row r="11" spans="1:19" s="441" customFormat="1">
      <c r="A11" s="749" t="s">
        <v>214</v>
      </c>
      <c r="B11" s="754"/>
      <c r="C11" s="635">
        <f>huishoudens!B8</f>
        <v>42064.180050457973</v>
      </c>
      <c r="D11" s="635">
        <f>huishoudens!C8</f>
        <v>0</v>
      </c>
      <c r="E11" s="635">
        <f>huishoudens!D8</f>
        <v>91833.782663169317</v>
      </c>
      <c r="F11" s="635">
        <f>huishoudens!E8</f>
        <v>2065.5945469859262</v>
      </c>
      <c r="G11" s="635">
        <f>huishoudens!F8</f>
        <v>70507.821501707745</v>
      </c>
      <c r="H11" s="635">
        <f>huishoudens!G8</f>
        <v>0</v>
      </c>
      <c r="I11" s="635">
        <f>huishoudens!H8</f>
        <v>0</v>
      </c>
      <c r="J11" s="635">
        <f>huishoudens!I8</f>
        <v>0</v>
      </c>
      <c r="K11" s="635">
        <f>huishoudens!J8</f>
        <v>1587.657382642305</v>
      </c>
      <c r="L11" s="635">
        <f>huishoudens!K8</f>
        <v>0</v>
      </c>
      <c r="M11" s="635">
        <f>huishoudens!L8</f>
        <v>0</v>
      </c>
      <c r="N11" s="635">
        <f>huishoudens!M8</f>
        <v>0</v>
      </c>
      <c r="O11" s="635">
        <f>huishoudens!N8</f>
        <v>11972.031598947589</v>
      </c>
      <c r="P11" s="635">
        <f>huishoudens!O8</f>
        <v>131.32000000000002</v>
      </c>
      <c r="Q11" s="636">
        <f>huishoudens!P8</f>
        <v>743.6</v>
      </c>
      <c r="R11" s="638">
        <f>SUM(C11:Q11)</f>
        <v>220905.98774391087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150376.89357074967</v>
      </c>
      <c r="D13" s="635">
        <f>industrie!C18</f>
        <v>0</v>
      </c>
      <c r="E13" s="635">
        <f>industrie!D18</f>
        <v>59285.63263947612</v>
      </c>
      <c r="F13" s="635">
        <f>industrie!E18</f>
        <v>1049.140254134421</v>
      </c>
      <c r="G13" s="635">
        <f>industrie!F18</f>
        <v>19498.095179080352</v>
      </c>
      <c r="H13" s="635">
        <f>industrie!G18</f>
        <v>0</v>
      </c>
      <c r="I13" s="635">
        <f>industrie!H18</f>
        <v>0</v>
      </c>
      <c r="J13" s="635">
        <f>industrie!I18</f>
        <v>0</v>
      </c>
      <c r="K13" s="635">
        <f>industrie!J18</f>
        <v>602.25774730033743</v>
      </c>
      <c r="L13" s="635">
        <f>industrie!K18</f>
        <v>0</v>
      </c>
      <c r="M13" s="635">
        <f>industrie!L18</f>
        <v>0</v>
      </c>
      <c r="N13" s="635">
        <f>industrie!M18</f>
        <v>0</v>
      </c>
      <c r="O13" s="635">
        <f>industrie!N18</f>
        <v>2010.1168315609843</v>
      </c>
      <c r="P13" s="635">
        <f>industrie!O18</f>
        <v>0</v>
      </c>
      <c r="Q13" s="636">
        <f>industrie!P18</f>
        <v>0</v>
      </c>
      <c r="R13" s="638">
        <f>SUM(C13:Q13)</f>
        <v>232822.13622230192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236936.98173847422</v>
      </c>
      <c r="D16" s="668">
        <f t="shared" ref="D16:R16" ca="1" si="0">SUM(D9:D15)</f>
        <v>0</v>
      </c>
      <c r="E16" s="668">
        <f t="shared" ca="1" si="0"/>
        <v>185587.17707796334</v>
      </c>
      <c r="F16" s="668">
        <f t="shared" si="0"/>
        <v>3898.0674006183722</v>
      </c>
      <c r="G16" s="668">
        <f t="shared" ca="1" si="0"/>
        <v>98047.25007905376</v>
      </c>
      <c r="H16" s="668">
        <f t="shared" si="0"/>
        <v>0</v>
      </c>
      <c r="I16" s="668">
        <f t="shared" si="0"/>
        <v>0</v>
      </c>
      <c r="J16" s="668">
        <f t="shared" si="0"/>
        <v>0</v>
      </c>
      <c r="K16" s="668">
        <f t="shared" si="0"/>
        <v>2189.9151299426426</v>
      </c>
      <c r="L16" s="668">
        <f t="shared" si="0"/>
        <v>0</v>
      </c>
      <c r="M16" s="668">
        <f t="shared" ca="1" si="0"/>
        <v>0</v>
      </c>
      <c r="N16" s="668">
        <f t="shared" si="0"/>
        <v>0</v>
      </c>
      <c r="O16" s="668">
        <f t="shared" ca="1" si="0"/>
        <v>13982.148430508574</v>
      </c>
      <c r="P16" s="668">
        <f t="shared" si="0"/>
        <v>136.01000000000002</v>
      </c>
      <c r="Q16" s="668">
        <f t="shared" si="0"/>
        <v>743.6</v>
      </c>
      <c r="R16" s="668">
        <f t="shared" ca="1" si="0"/>
        <v>541521.14985656086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9.3329130260047517</v>
      </c>
      <c r="D19" s="635">
        <f>transport!C54</f>
        <v>0</v>
      </c>
      <c r="E19" s="635">
        <f>transport!D54</f>
        <v>0</v>
      </c>
      <c r="F19" s="635">
        <f>transport!E54</f>
        <v>0</v>
      </c>
      <c r="G19" s="635">
        <f>transport!F54</f>
        <v>0</v>
      </c>
      <c r="H19" s="635">
        <f>transport!G54</f>
        <v>2024.6817798669165</v>
      </c>
      <c r="I19" s="635">
        <f>transport!H54</f>
        <v>0</v>
      </c>
      <c r="J19" s="635">
        <f>transport!I54</f>
        <v>0</v>
      </c>
      <c r="K19" s="635">
        <f>transport!J54</f>
        <v>0</v>
      </c>
      <c r="L19" s="635">
        <f>transport!K54</f>
        <v>0</v>
      </c>
      <c r="M19" s="635">
        <f>transport!L54</f>
        <v>0</v>
      </c>
      <c r="N19" s="635">
        <f>transport!M54</f>
        <v>86.689096506983006</v>
      </c>
      <c r="O19" s="635">
        <f>transport!N54</f>
        <v>0</v>
      </c>
      <c r="P19" s="635">
        <f>transport!O54</f>
        <v>0</v>
      </c>
      <c r="Q19" s="636">
        <f>transport!P54</f>
        <v>0</v>
      </c>
      <c r="R19" s="638">
        <f>SUM(C19:Q19)</f>
        <v>2120.7037893999041</v>
      </c>
      <c r="S19" s="67"/>
    </row>
    <row r="20" spans="1:19" s="441" customFormat="1">
      <c r="A20" s="749" t="s">
        <v>296</v>
      </c>
      <c r="B20" s="754"/>
      <c r="C20" s="635">
        <f>transport!B14</f>
        <v>2.4353537759272221</v>
      </c>
      <c r="D20" s="635">
        <f>transport!C14</f>
        <v>0</v>
      </c>
      <c r="E20" s="635">
        <f>transport!D14</f>
        <v>7.7737740227284275</v>
      </c>
      <c r="F20" s="635">
        <f>transport!E14</f>
        <v>868.76286673791094</v>
      </c>
      <c r="G20" s="635">
        <f>transport!F14</f>
        <v>0</v>
      </c>
      <c r="H20" s="635">
        <f>transport!G14</f>
        <v>164106.9243830512</v>
      </c>
      <c r="I20" s="635">
        <f>transport!H14</f>
        <v>27482.809345270023</v>
      </c>
      <c r="J20" s="635">
        <f>transport!I14</f>
        <v>0</v>
      </c>
      <c r="K20" s="635">
        <f>transport!J14</f>
        <v>0</v>
      </c>
      <c r="L20" s="635">
        <f>transport!K14</f>
        <v>0</v>
      </c>
      <c r="M20" s="635">
        <f>transport!L14</f>
        <v>0</v>
      </c>
      <c r="N20" s="635">
        <f>transport!M14</f>
        <v>8334.489220803267</v>
      </c>
      <c r="O20" s="635">
        <f>transport!N14</f>
        <v>0</v>
      </c>
      <c r="P20" s="635">
        <f>transport!O14</f>
        <v>0</v>
      </c>
      <c r="Q20" s="636">
        <f>transport!P14</f>
        <v>0</v>
      </c>
      <c r="R20" s="638">
        <f>SUM(C20:Q20)</f>
        <v>200803.19494366104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11.768266801931974</v>
      </c>
      <c r="D22" s="752">
        <f t="shared" ref="D22:R22" si="1">SUM(D18:D21)</f>
        <v>0</v>
      </c>
      <c r="E22" s="752">
        <f t="shared" si="1"/>
        <v>7.7737740227284275</v>
      </c>
      <c r="F22" s="752">
        <f t="shared" si="1"/>
        <v>868.76286673791094</v>
      </c>
      <c r="G22" s="752">
        <f t="shared" si="1"/>
        <v>0</v>
      </c>
      <c r="H22" s="752">
        <f t="shared" si="1"/>
        <v>166131.60616291812</v>
      </c>
      <c r="I22" s="752">
        <f t="shared" si="1"/>
        <v>27482.809345270023</v>
      </c>
      <c r="J22" s="752">
        <f t="shared" si="1"/>
        <v>0</v>
      </c>
      <c r="K22" s="752">
        <f t="shared" si="1"/>
        <v>0</v>
      </c>
      <c r="L22" s="752">
        <f t="shared" si="1"/>
        <v>0</v>
      </c>
      <c r="M22" s="752">
        <f t="shared" si="1"/>
        <v>0</v>
      </c>
      <c r="N22" s="752">
        <f t="shared" si="1"/>
        <v>8421.1783173102503</v>
      </c>
      <c r="O22" s="752">
        <f t="shared" si="1"/>
        <v>0</v>
      </c>
      <c r="P22" s="752">
        <f t="shared" si="1"/>
        <v>0</v>
      </c>
      <c r="Q22" s="752">
        <f t="shared" si="1"/>
        <v>0</v>
      </c>
      <c r="R22" s="752">
        <f t="shared" si="1"/>
        <v>202923.89873306095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3494.6323970917883</v>
      </c>
      <c r="D24" s="635">
        <f>+landbouw!C8</f>
        <v>7515</v>
      </c>
      <c r="E24" s="635">
        <f>+landbouw!D8</f>
        <v>1612.8068184992462</v>
      </c>
      <c r="F24" s="635">
        <f>+landbouw!E8</f>
        <v>31.491072195478868</v>
      </c>
      <c r="G24" s="635">
        <f>+landbouw!F8</f>
        <v>13094.494174661688</v>
      </c>
      <c r="H24" s="635">
        <f>+landbouw!G8</f>
        <v>0</v>
      </c>
      <c r="I24" s="635">
        <f>+landbouw!H8</f>
        <v>0</v>
      </c>
      <c r="J24" s="635">
        <f>+landbouw!I8</f>
        <v>0</v>
      </c>
      <c r="K24" s="635">
        <f>+landbouw!J8</f>
        <v>353.64234518968061</v>
      </c>
      <c r="L24" s="635">
        <f>+landbouw!K8</f>
        <v>0</v>
      </c>
      <c r="M24" s="635">
        <f>+landbouw!L8</f>
        <v>0</v>
      </c>
      <c r="N24" s="635">
        <f>+landbouw!M8</f>
        <v>0</v>
      </c>
      <c r="O24" s="635">
        <f>+landbouw!N8</f>
        <v>0</v>
      </c>
      <c r="P24" s="635">
        <f>+landbouw!O8</f>
        <v>0</v>
      </c>
      <c r="Q24" s="636">
        <f>+landbouw!P8</f>
        <v>0</v>
      </c>
      <c r="R24" s="638">
        <f>SUM(C24:Q24)</f>
        <v>26102.066807637882</v>
      </c>
      <c r="S24" s="67"/>
    </row>
    <row r="25" spans="1:19" s="441" customFormat="1" ht="15" thickBot="1">
      <c r="A25" s="771" t="s">
        <v>864</v>
      </c>
      <c r="B25" s="923"/>
      <c r="C25" s="924">
        <f>IF(Onbekend_ele_kWh="---",0,Onbekend_ele_kWh)/1000+IF(REST_rest_ele_kWh="---",0,REST_rest_ele_kWh)/1000</f>
        <v>2059.1464248286602</v>
      </c>
      <c r="D25" s="924"/>
      <c r="E25" s="924">
        <f>IF(onbekend_gas_kWh="---",0,onbekend_gas_kWh)/1000+IF(REST_rest_gas_kWh="---",0,REST_rest_gas_kWh)/1000</f>
        <v>5024.6460632749004</v>
      </c>
      <c r="F25" s="924"/>
      <c r="G25" s="924"/>
      <c r="H25" s="924"/>
      <c r="I25" s="924"/>
      <c r="J25" s="924"/>
      <c r="K25" s="924"/>
      <c r="L25" s="924"/>
      <c r="M25" s="924"/>
      <c r="N25" s="924"/>
      <c r="O25" s="924"/>
      <c r="P25" s="924"/>
      <c r="Q25" s="925"/>
      <c r="R25" s="638">
        <f>SUM(C25:Q25)</f>
        <v>7083.7924881035606</v>
      </c>
      <c r="S25" s="67"/>
    </row>
    <row r="26" spans="1:19" s="441" customFormat="1" ht="15.75" thickBot="1">
      <c r="A26" s="641" t="s">
        <v>865</v>
      </c>
      <c r="B26" s="757"/>
      <c r="C26" s="752">
        <f>SUM(C24:C25)</f>
        <v>5553.7788219204485</v>
      </c>
      <c r="D26" s="752">
        <f t="shared" ref="D26:R26" si="2">SUM(D24:D25)</f>
        <v>7515</v>
      </c>
      <c r="E26" s="752">
        <f t="shared" si="2"/>
        <v>6637.4528817741466</v>
      </c>
      <c r="F26" s="752">
        <f t="shared" si="2"/>
        <v>31.491072195478868</v>
      </c>
      <c r="G26" s="752">
        <f t="shared" si="2"/>
        <v>13094.494174661688</v>
      </c>
      <c r="H26" s="752">
        <f t="shared" si="2"/>
        <v>0</v>
      </c>
      <c r="I26" s="752">
        <f t="shared" si="2"/>
        <v>0</v>
      </c>
      <c r="J26" s="752">
        <f t="shared" si="2"/>
        <v>0</v>
      </c>
      <c r="K26" s="752">
        <f t="shared" si="2"/>
        <v>353.64234518968061</v>
      </c>
      <c r="L26" s="752">
        <f t="shared" si="2"/>
        <v>0</v>
      </c>
      <c r="M26" s="752">
        <f t="shared" si="2"/>
        <v>0</v>
      </c>
      <c r="N26" s="752">
        <f t="shared" si="2"/>
        <v>0</v>
      </c>
      <c r="O26" s="752">
        <f t="shared" si="2"/>
        <v>0</v>
      </c>
      <c r="P26" s="752">
        <f t="shared" si="2"/>
        <v>0</v>
      </c>
      <c r="Q26" s="752">
        <f t="shared" si="2"/>
        <v>0</v>
      </c>
      <c r="R26" s="752">
        <f t="shared" si="2"/>
        <v>33185.859295741444</v>
      </c>
      <c r="S26" s="67"/>
    </row>
    <row r="27" spans="1:19" s="441" customFormat="1" ht="17.25" thickTop="1" thickBot="1">
      <c r="A27" s="642" t="s">
        <v>109</v>
      </c>
      <c r="B27" s="744"/>
      <c r="C27" s="643">
        <f ca="1">C22+C16+C26</f>
        <v>242502.5288271966</v>
      </c>
      <c r="D27" s="643">
        <f t="shared" ref="D27:R27" ca="1" si="3">D22+D16+D26</f>
        <v>7515</v>
      </c>
      <c r="E27" s="643">
        <f t="shared" ca="1" si="3"/>
        <v>192232.40373376021</v>
      </c>
      <c r="F27" s="643">
        <f t="shared" si="3"/>
        <v>4798.3213395517623</v>
      </c>
      <c r="G27" s="643">
        <f t="shared" ca="1" si="3"/>
        <v>111141.74425371544</v>
      </c>
      <c r="H27" s="643">
        <f t="shared" si="3"/>
        <v>166131.60616291812</v>
      </c>
      <c r="I27" s="643">
        <f t="shared" si="3"/>
        <v>27482.809345270023</v>
      </c>
      <c r="J27" s="643">
        <f t="shared" si="3"/>
        <v>0</v>
      </c>
      <c r="K27" s="643">
        <f t="shared" si="3"/>
        <v>2543.5574751323234</v>
      </c>
      <c r="L27" s="643">
        <f t="shared" si="3"/>
        <v>0</v>
      </c>
      <c r="M27" s="643">
        <f t="shared" ca="1" si="3"/>
        <v>0</v>
      </c>
      <c r="N27" s="643">
        <f t="shared" si="3"/>
        <v>8421.1783173102503</v>
      </c>
      <c r="O27" s="643">
        <f t="shared" ca="1" si="3"/>
        <v>13982.148430508574</v>
      </c>
      <c r="P27" s="643">
        <f t="shared" si="3"/>
        <v>136.01000000000002</v>
      </c>
      <c r="Q27" s="643">
        <f t="shared" si="3"/>
        <v>743.6</v>
      </c>
      <c r="R27" s="643">
        <f t="shared" ca="1" si="3"/>
        <v>777630.90788536321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9508.1478383261056</v>
      </c>
      <c r="D40" s="635">
        <f ca="1">tertiair!C20</f>
        <v>0</v>
      </c>
      <c r="E40" s="635">
        <f ca="1">tertiair!D20</f>
        <v>6962.4878786142135</v>
      </c>
      <c r="F40" s="635">
        <f>tertiair!E20</f>
        <v>177.81650008605169</v>
      </c>
      <c r="G40" s="635">
        <f ca="1">tertiair!F20</f>
        <v>2147.0360173369322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18795.488234363303</v>
      </c>
    </row>
    <row r="41" spans="1:18">
      <c r="A41" s="762" t="s">
        <v>214</v>
      </c>
      <c r="B41" s="769"/>
      <c r="C41" s="635">
        <f ca="1">huishoudens!B12</f>
        <v>8988.5218560697485</v>
      </c>
      <c r="D41" s="635">
        <f ca="1">huishoudens!C12</f>
        <v>0</v>
      </c>
      <c r="E41" s="635">
        <f>huishoudens!D12</f>
        <v>18550.424097960204</v>
      </c>
      <c r="F41" s="635">
        <f>huishoudens!E12</f>
        <v>468.88996216580523</v>
      </c>
      <c r="G41" s="635">
        <f>huishoudens!F12</f>
        <v>18825.588340955968</v>
      </c>
      <c r="H41" s="635">
        <f>huishoudens!G12</f>
        <v>0</v>
      </c>
      <c r="I41" s="635">
        <f>huishoudens!H12</f>
        <v>0</v>
      </c>
      <c r="J41" s="635">
        <f>huishoudens!I12</f>
        <v>0</v>
      </c>
      <c r="K41" s="635">
        <f>huishoudens!J12</f>
        <v>562.03071345537592</v>
      </c>
      <c r="L41" s="635">
        <f>huishoudens!K12</f>
        <v>0</v>
      </c>
      <c r="M41" s="635">
        <f>huishoudens!L12</f>
        <v>0</v>
      </c>
      <c r="N41" s="635">
        <f>huishoudens!M12</f>
        <v>0</v>
      </c>
      <c r="O41" s="635">
        <f>huishoudens!N12</f>
        <v>0</v>
      </c>
      <c r="P41" s="635">
        <f>huishoudens!O12</f>
        <v>0</v>
      </c>
      <c r="Q41" s="710">
        <f>huishoudens!P12</f>
        <v>0</v>
      </c>
      <c r="R41" s="790">
        <f t="shared" ca="1" si="4"/>
        <v>47395.454970607097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32133.420712995492</v>
      </c>
      <c r="D43" s="635">
        <f ca="1">industrie!C22</f>
        <v>0</v>
      </c>
      <c r="E43" s="635">
        <f>industrie!D22</f>
        <v>11975.697793174177</v>
      </c>
      <c r="F43" s="635">
        <f>industrie!E22</f>
        <v>238.15483768851357</v>
      </c>
      <c r="G43" s="635">
        <f>industrie!F22</f>
        <v>5205.9914128144546</v>
      </c>
      <c r="H43" s="635">
        <f>industrie!G22</f>
        <v>0</v>
      </c>
      <c r="I43" s="635">
        <f>industrie!H22</f>
        <v>0</v>
      </c>
      <c r="J43" s="635">
        <f>industrie!I22</f>
        <v>0</v>
      </c>
      <c r="K43" s="635">
        <f>industrie!J22</f>
        <v>213.19924254431945</v>
      </c>
      <c r="L43" s="635">
        <f>industrie!K22</f>
        <v>0</v>
      </c>
      <c r="M43" s="635">
        <f>industrie!L22</f>
        <v>0</v>
      </c>
      <c r="N43" s="635">
        <f>industrie!M22</f>
        <v>0</v>
      </c>
      <c r="O43" s="635">
        <f>industrie!N22</f>
        <v>0</v>
      </c>
      <c r="P43" s="635">
        <f>industrie!O22</f>
        <v>0</v>
      </c>
      <c r="Q43" s="710">
        <f>industrie!P22</f>
        <v>0</v>
      </c>
      <c r="R43" s="789">
        <f t="shared" ca="1" si="4"/>
        <v>49766.463999216947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50630.090407391341</v>
      </c>
      <c r="D46" s="668">
        <f t="shared" ref="D46:Q46" ca="1" si="5">SUM(D39:D45)</f>
        <v>0</v>
      </c>
      <c r="E46" s="668">
        <f t="shared" ca="1" si="5"/>
        <v>37488.609769748597</v>
      </c>
      <c r="F46" s="668">
        <f t="shared" si="5"/>
        <v>884.86129994037049</v>
      </c>
      <c r="G46" s="668">
        <f t="shared" ca="1" si="5"/>
        <v>26178.615771107357</v>
      </c>
      <c r="H46" s="668">
        <f t="shared" si="5"/>
        <v>0</v>
      </c>
      <c r="I46" s="668">
        <f t="shared" si="5"/>
        <v>0</v>
      </c>
      <c r="J46" s="668">
        <f t="shared" si="5"/>
        <v>0</v>
      </c>
      <c r="K46" s="668">
        <f t="shared" si="5"/>
        <v>775.22995599969533</v>
      </c>
      <c r="L46" s="668">
        <f t="shared" si="5"/>
        <v>0</v>
      </c>
      <c r="M46" s="668">
        <f t="shared" ca="1" si="5"/>
        <v>0</v>
      </c>
      <c r="N46" s="668">
        <f t="shared" si="5"/>
        <v>0</v>
      </c>
      <c r="O46" s="668">
        <f t="shared" ca="1" si="5"/>
        <v>0</v>
      </c>
      <c r="P46" s="668">
        <f t="shared" si="5"/>
        <v>0</v>
      </c>
      <c r="Q46" s="668">
        <f t="shared" si="5"/>
        <v>0</v>
      </c>
      <c r="R46" s="668">
        <f ca="1">SUM(R39:R45)</f>
        <v>115957.40720418736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1.9943118495216794</v>
      </c>
      <c r="D49" s="635">
        <f ca="1">transport!C58</f>
        <v>0</v>
      </c>
      <c r="E49" s="635">
        <f>transport!D58</f>
        <v>0</v>
      </c>
      <c r="F49" s="635">
        <f>transport!E58</f>
        <v>0</v>
      </c>
      <c r="G49" s="635">
        <f>transport!F58</f>
        <v>0</v>
      </c>
      <c r="H49" s="635">
        <f>transport!G58</f>
        <v>540.59003522446676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542.5843470739884</v>
      </c>
    </row>
    <row r="50" spans="1:18">
      <c r="A50" s="765" t="s">
        <v>296</v>
      </c>
      <c r="B50" s="775"/>
      <c r="C50" s="930">
        <f ca="1">transport!B18</f>
        <v>0.52040074514528656</v>
      </c>
      <c r="D50" s="930">
        <f>transport!C18</f>
        <v>0</v>
      </c>
      <c r="E50" s="930">
        <f>transport!D18</f>
        <v>1.5703023525911424</v>
      </c>
      <c r="F50" s="930">
        <f>transport!E18</f>
        <v>197.2091707495058</v>
      </c>
      <c r="G50" s="930">
        <f>transport!F18</f>
        <v>0</v>
      </c>
      <c r="H50" s="930">
        <f>transport!G18</f>
        <v>43816.548810274675</v>
      </c>
      <c r="I50" s="930">
        <f>transport!H18</f>
        <v>6843.2195269722361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50859.068211094156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2.5147125946669657</v>
      </c>
      <c r="D52" s="668">
        <f t="shared" ref="D52:Q52" ca="1" si="6">SUM(D48:D51)</f>
        <v>0</v>
      </c>
      <c r="E52" s="668">
        <f t="shared" si="6"/>
        <v>1.5703023525911424</v>
      </c>
      <c r="F52" s="668">
        <f t="shared" si="6"/>
        <v>197.2091707495058</v>
      </c>
      <c r="G52" s="668">
        <f t="shared" si="6"/>
        <v>0</v>
      </c>
      <c r="H52" s="668">
        <f t="shared" si="6"/>
        <v>44357.138845499139</v>
      </c>
      <c r="I52" s="668">
        <f t="shared" si="6"/>
        <v>6843.2195269722361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51401.652558168142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746.75364270762634</v>
      </c>
      <c r="D54" s="930">
        <f ca="1">+landbouw!C12</f>
        <v>1785.9176470588238</v>
      </c>
      <c r="E54" s="930">
        <f>+landbouw!D12</f>
        <v>325.78697733684777</v>
      </c>
      <c r="F54" s="930">
        <f>+landbouw!E12</f>
        <v>7.1484733883737031</v>
      </c>
      <c r="G54" s="930">
        <f>+landbouw!F12</f>
        <v>3496.229944634671</v>
      </c>
      <c r="H54" s="930">
        <f>+landbouw!G12</f>
        <v>0</v>
      </c>
      <c r="I54" s="930">
        <f>+landbouw!H12</f>
        <v>0</v>
      </c>
      <c r="J54" s="930">
        <f>+landbouw!I12</f>
        <v>0</v>
      </c>
      <c r="K54" s="930">
        <f>+landbouw!J12</f>
        <v>125.18939019714693</v>
      </c>
      <c r="L54" s="930">
        <f>+landbouw!K12</f>
        <v>0</v>
      </c>
      <c r="M54" s="930">
        <f>+landbouw!L12</f>
        <v>0</v>
      </c>
      <c r="N54" s="930">
        <f>+landbouw!M12</f>
        <v>0</v>
      </c>
      <c r="O54" s="930">
        <f>+landbouw!N12</f>
        <v>0</v>
      </c>
      <c r="P54" s="930">
        <f>+landbouw!O12</f>
        <v>0</v>
      </c>
      <c r="Q54" s="931">
        <f>+landbouw!P12</f>
        <v>0</v>
      </c>
      <c r="R54" s="667">
        <f ca="1">SUM(C54:Q54)</f>
        <v>6487.0260753234897</v>
      </c>
    </row>
    <row r="55" spans="1:18" ht="15" thickBot="1">
      <c r="A55" s="765" t="s">
        <v>864</v>
      </c>
      <c r="B55" s="775"/>
      <c r="C55" s="930">
        <f ca="1">C25*'EF ele_warmte'!B12</f>
        <v>440.0105415633505</v>
      </c>
      <c r="D55" s="930"/>
      <c r="E55" s="930">
        <f>E25*EF_CO2_aardgas</f>
        <v>1014.97850478153</v>
      </c>
      <c r="F55" s="930"/>
      <c r="G55" s="930"/>
      <c r="H55" s="930"/>
      <c r="I55" s="930"/>
      <c r="J55" s="930"/>
      <c r="K55" s="930"/>
      <c r="L55" s="930"/>
      <c r="M55" s="930"/>
      <c r="N55" s="930"/>
      <c r="O55" s="930"/>
      <c r="P55" s="930"/>
      <c r="Q55" s="931"/>
      <c r="R55" s="667">
        <f ca="1">SUM(C55:Q55)</f>
        <v>1454.9890463448805</v>
      </c>
    </row>
    <row r="56" spans="1:18" ht="15.75" thickBot="1">
      <c r="A56" s="763" t="s">
        <v>865</v>
      </c>
      <c r="B56" s="776"/>
      <c r="C56" s="668">
        <f ca="1">SUM(C54:C55)</f>
        <v>1186.7641842709768</v>
      </c>
      <c r="D56" s="668">
        <f t="shared" ref="D56:Q56" ca="1" si="7">SUM(D54:D55)</f>
        <v>1785.9176470588238</v>
      </c>
      <c r="E56" s="668">
        <f t="shared" si="7"/>
        <v>1340.7654821183778</v>
      </c>
      <c r="F56" s="668">
        <f t="shared" si="7"/>
        <v>7.1484733883737031</v>
      </c>
      <c r="G56" s="668">
        <f t="shared" si="7"/>
        <v>3496.229944634671</v>
      </c>
      <c r="H56" s="668">
        <f t="shared" si="7"/>
        <v>0</v>
      </c>
      <c r="I56" s="668">
        <f t="shared" si="7"/>
        <v>0</v>
      </c>
      <c r="J56" s="668">
        <f t="shared" si="7"/>
        <v>0</v>
      </c>
      <c r="K56" s="668">
        <f t="shared" si="7"/>
        <v>125.18939019714693</v>
      </c>
      <c r="L56" s="668">
        <f t="shared" si="7"/>
        <v>0</v>
      </c>
      <c r="M56" s="668">
        <f t="shared" si="7"/>
        <v>0</v>
      </c>
      <c r="N56" s="668">
        <f t="shared" si="7"/>
        <v>0</v>
      </c>
      <c r="O56" s="668">
        <f t="shared" si="7"/>
        <v>0</v>
      </c>
      <c r="P56" s="668">
        <f t="shared" si="7"/>
        <v>0</v>
      </c>
      <c r="Q56" s="669">
        <f t="shared" si="7"/>
        <v>0</v>
      </c>
      <c r="R56" s="670">
        <f ca="1">SUM(R54:R55)</f>
        <v>7942.0151216683698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51819.369304256987</v>
      </c>
      <c r="D61" s="676">
        <f t="shared" ref="D61:Q61" ca="1" si="8">D46+D52+D56</f>
        <v>1785.9176470588238</v>
      </c>
      <c r="E61" s="676">
        <f t="shared" ca="1" si="8"/>
        <v>38830.945554219565</v>
      </c>
      <c r="F61" s="676">
        <f t="shared" si="8"/>
        <v>1089.2189440782502</v>
      </c>
      <c r="G61" s="676">
        <f t="shared" ca="1" si="8"/>
        <v>29674.845715742027</v>
      </c>
      <c r="H61" s="676">
        <f t="shared" si="8"/>
        <v>44357.138845499139</v>
      </c>
      <c r="I61" s="676">
        <f t="shared" si="8"/>
        <v>6843.2195269722361</v>
      </c>
      <c r="J61" s="676">
        <f t="shared" si="8"/>
        <v>0</v>
      </c>
      <c r="K61" s="676">
        <f t="shared" si="8"/>
        <v>900.4193461968423</v>
      </c>
      <c r="L61" s="676">
        <f t="shared" si="8"/>
        <v>0</v>
      </c>
      <c r="M61" s="676">
        <f t="shared" ca="1" si="8"/>
        <v>0</v>
      </c>
      <c r="N61" s="676">
        <f t="shared" si="8"/>
        <v>0</v>
      </c>
      <c r="O61" s="676">
        <f t="shared" ca="1" si="8"/>
        <v>0</v>
      </c>
      <c r="P61" s="676">
        <f t="shared" si="8"/>
        <v>0</v>
      </c>
      <c r="Q61" s="676">
        <f t="shared" si="8"/>
        <v>0</v>
      </c>
      <c r="R61" s="676">
        <f ca="1">R46+R52+R56</f>
        <v>175301.07488402387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0.21368589249303307</v>
      </c>
      <c r="D63" s="720">
        <f t="shared" ca="1" si="9"/>
        <v>0.23764705882352946</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7080.9973732789276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5260.5</v>
      </c>
      <c r="D76" s="942">
        <f>'lokale energieproductie'!C8</f>
        <v>6188.8235294117649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1250.1423529411766</v>
      </c>
      <c r="R76" s="792">
        <v>0</v>
      </c>
    </row>
    <row r="77" spans="1:18" ht="30.75" thickBot="1">
      <c r="A77" s="689" t="s">
        <v>340</v>
      </c>
      <c r="B77" s="686">
        <f>'lokale energieproductie'!B9*IFERROR(SUM(I77:O77)/SUM(D77:O77),0)</f>
        <v>1341</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3831.4285714285716</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8421.9973732789276</v>
      </c>
      <c r="C78" s="691">
        <f>SUM(C72:C77)</f>
        <v>5260.5</v>
      </c>
      <c r="D78" s="692">
        <f t="shared" ref="D78:H78" si="10">SUM(D76:D77)</f>
        <v>6188.8235294117649</v>
      </c>
      <c r="E78" s="692">
        <f t="shared" si="10"/>
        <v>0</v>
      </c>
      <c r="F78" s="692">
        <f t="shared" si="10"/>
        <v>0</v>
      </c>
      <c r="G78" s="692">
        <f t="shared" si="10"/>
        <v>0</v>
      </c>
      <c r="H78" s="692">
        <f t="shared" si="10"/>
        <v>0</v>
      </c>
      <c r="I78" s="692">
        <f>SUM(I76:I77)</f>
        <v>0</v>
      </c>
      <c r="J78" s="692">
        <f>SUM(J76:J77)</f>
        <v>3831.4285714285716</v>
      </c>
      <c r="K78" s="692">
        <f t="shared" ref="K78:L78" si="11">SUM(K76:K77)</f>
        <v>0</v>
      </c>
      <c r="L78" s="692">
        <f t="shared" si="11"/>
        <v>0</v>
      </c>
      <c r="M78" s="692">
        <f>SUM(M76:M77)</f>
        <v>0</v>
      </c>
      <c r="N78" s="692">
        <f>SUM(N76:N77)</f>
        <v>0</v>
      </c>
      <c r="O78" s="800">
        <f>SUM(O76:O77)</f>
        <v>0</v>
      </c>
      <c r="P78" s="693">
        <v>0</v>
      </c>
      <c r="Q78" s="693">
        <f>SUM(Q76:Q77)</f>
        <v>1250.1423529411766</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7515</v>
      </c>
      <c r="D87" s="713">
        <f>'lokale energieproductie'!C17</f>
        <v>8841.176470588236</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1785.9176470588238</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7515</v>
      </c>
      <c r="D90" s="691">
        <f t="shared" ref="D90:H90" si="12">SUM(D87:D89)</f>
        <v>8841.176470588236</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1785.9176470588238</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42064.180050457973</v>
      </c>
      <c r="C4" s="445">
        <f>huishoudens!C8</f>
        <v>0</v>
      </c>
      <c r="D4" s="445">
        <f>huishoudens!D8</f>
        <v>91833.782663169317</v>
      </c>
      <c r="E4" s="445">
        <f>huishoudens!E8</f>
        <v>2065.5945469859262</v>
      </c>
      <c r="F4" s="445">
        <f>huishoudens!F8</f>
        <v>70507.821501707745</v>
      </c>
      <c r="G4" s="445">
        <f>huishoudens!G8</f>
        <v>0</v>
      </c>
      <c r="H4" s="445">
        <f>huishoudens!H8</f>
        <v>0</v>
      </c>
      <c r="I4" s="445">
        <f>huishoudens!I8</f>
        <v>0</v>
      </c>
      <c r="J4" s="445">
        <f>huishoudens!J8</f>
        <v>1587.657382642305</v>
      </c>
      <c r="K4" s="445">
        <f>huishoudens!K8</f>
        <v>0</v>
      </c>
      <c r="L4" s="445">
        <f>huishoudens!L8</f>
        <v>0</v>
      </c>
      <c r="M4" s="445">
        <f>huishoudens!M8</f>
        <v>0</v>
      </c>
      <c r="N4" s="445">
        <f>huishoudens!N8</f>
        <v>11972.031598947589</v>
      </c>
      <c r="O4" s="445">
        <f>huishoudens!O8</f>
        <v>131.32000000000002</v>
      </c>
      <c r="P4" s="446">
        <f>huishoudens!P8</f>
        <v>743.6</v>
      </c>
      <c r="Q4" s="447">
        <f>SUM(B4:P4)</f>
        <v>220905.98774391087</v>
      </c>
    </row>
    <row r="5" spans="1:17">
      <c r="A5" s="444" t="s">
        <v>149</v>
      </c>
      <c r="B5" s="445">
        <f ca="1">tertiair!B16</f>
        <v>42359.207117266582</v>
      </c>
      <c r="C5" s="445">
        <f ca="1">tertiair!C16</f>
        <v>0</v>
      </c>
      <c r="D5" s="445">
        <f ca="1">tertiair!D16</f>
        <v>34467.761775317886</v>
      </c>
      <c r="E5" s="445">
        <f>tertiair!E16</f>
        <v>783.33259949802505</v>
      </c>
      <c r="F5" s="445">
        <f ca="1">tertiair!F16</f>
        <v>8041.3333982656641</v>
      </c>
      <c r="G5" s="445">
        <f>tertiair!G16</f>
        <v>0</v>
      </c>
      <c r="H5" s="445">
        <f>tertiair!H16</f>
        <v>0</v>
      </c>
      <c r="I5" s="445">
        <f>tertiair!I16</f>
        <v>0</v>
      </c>
      <c r="J5" s="445">
        <f>tertiair!J16</f>
        <v>0</v>
      </c>
      <c r="K5" s="445">
        <f>tertiair!K16</f>
        <v>0</v>
      </c>
      <c r="L5" s="445">
        <f ca="1">tertiair!L16</f>
        <v>0</v>
      </c>
      <c r="M5" s="445">
        <f>tertiair!M16</f>
        <v>0</v>
      </c>
      <c r="N5" s="445">
        <f ca="1">tertiair!N16</f>
        <v>0</v>
      </c>
      <c r="O5" s="445">
        <f>tertiair!O16</f>
        <v>4.6900000000000004</v>
      </c>
      <c r="P5" s="446">
        <f>tertiair!P16</f>
        <v>0</v>
      </c>
      <c r="Q5" s="444">
        <f t="shared" ref="Q5:Q14" ca="1" si="0">SUM(B5:P5)</f>
        <v>85656.324890348158</v>
      </c>
    </row>
    <row r="6" spans="1:17">
      <c r="A6" s="444" t="s">
        <v>187</v>
      </c>
      <c r="B6" s="445">
        <f>'openbare verlichting'!B8</f>
        <v>2136.701</v>
      </c>
      <c r="C6" s="445"/>
      <c r="D6" s="445"/>
      <c r="E6" s="445"/>
      <c r="F6" s="445"/>
      <c r="G6" s="445"/>
      <c r="H6" s="445"/>
      <c r="I6" s="445"/>
      <c r="J6" s="445"/>
      <c r="K6" s="445"/>
      <c r="L6" s="445"/>
      <c r="M6" s="445"/>
      <c r="N6" s="445"/>
      <c r="O6" s="445"/>
      <c r="P6" s="446"/>
      <c r="Q6" s="444">
        <f t="shared" si="0"/>
        <v>2136.701</v>
      </c>
    </row>
    <row r="7" spans="1:17">
      <c r="A7" s="444" t="s">
        <v>105</v>
      </c>
      <c r="B7" s="445">
        <f>landbouw!B8</f>
        <v>3494.6323970917883</v>
      </c>
      <c r="C7" s="445">
        <f>landbouw!C8</f>
        <v>7515</v>
      </c>
      <c r="D7" s="445">
        <f>landbouw!D8</f>
        <v>1612.8068184992462</v>
      </c>
      <c r="E7" s="445">
        <f>landbouw!E8</f>
        <v>31.491072195478868</v>
      </c>
      <c r="F7" s="445">
        <f>landbouw!F8</f>
        <v>13094.494174661688</v>
      </c>
      <c r="G7" s="445">
        <f>landbouw!G8</f>
        <v>0</v>
      </c>
      <c r="H7" s="445">
        <f>landbouw!H8</f>
        <v>0</v>
      </c>
      <c r="I7" s="445">
        <f>landbouw!I8</f>
        <v>0</v>
      </c>
      <c r="J7" s="445">
        <f>landbouw!J8</f>
        <v>353.64234518968061</v>
      </c>
      <c r="K7" s="445">
        <f>landbouw!K8</f>
        <v>0</v>
      </c>
      <c r="L7" s="445">
        <f>landbouw!L8</f>
        <v>0</v>
      </c>
      <c r="M7" s="445">
        <f>landbouw!M8</f>
        <v>0</v>
      </c>
      <c r="N7" s="445">
        <f>landbouw!N8</f>
        <v>0</v>
      </c>
      <c r="O7" s="445">
        <f>landbouw!O8</f>
        <v>0</v>
      </c>
      <c r="P7" s="446">
        <f>landbouw!P8</f>
        <v>0</v>
      </c>
      <c r="Q7" s="444">
        <f t="shared" si="0"/>
        <v>26102.066807637882</v>
      </c>
    </row>
    <row r="8" spans="1:17">
      <c r="A8" s="444" t="s">
        <v>613</v>
      </c>
      <c r="B8" s="445">
        <f>industrie!B18</f>
        <v>150376.89357074967</v>
      </c>
      <c r="C8" s="445">
        <f>industrie!C18</f>
        <v>0</v>
      </c>
      <c r="D8" s="445">
        <f>industrie!D18</f>
        <v>59285.63263947612</v>
      </c>
      <c r="E8" s="445">
        <f>industrie!E18</f>
        <v>1049.140254134421</v>
      </c>
      <c r="F8" s="445">
        <f>industrie!F18</f>
        <v>19498.095179080352</v>
      </c>
      <c r="G8" s="445">
        <f>industrie!G18</f>
        <v>0</v>
      </c>
      <c r="H8" s="445">
        <f>industrie!H18</f>
        <v>0</v>
      </c>
      <c r="I8" s="445">
        <f>industrie!I18</f>
        <v>0</v>
      </c>
      <c r="J8" s="445">
        <f>industrie!J18</f>
        <v>602.25774730033743</v>
      </c>
      <c r="K8" s="445">
        <f>industrie!K18</f>
        <v>0</v>
      </c>
      <c r="L8" s="445">
        <f>industrie!L18</f>
        <v>0</v>
      </c>
      <c r="M8" s="445">
        <f>industrie!M18</f>
        <v>0</v>
      </c>
      <c r="N8" s="445">
        <f>industrie!N18</f>
        <v>2010.1168315609843</v>
      </c>
      <c r="O8" s="445">
        <f>industrie!O18</f>
        <v>0</v>
      </c>
      <c r="P8" s="446">
        <f>industrie!P18</f>
        <v>0</v>
      </c>
      <c r="Q8" s="444">
        <f t="shared" si="0"/>
        <v>232822.13622230192</v>
      </c>
    </row>
    <row r="9" spans="1:17" s="450" customFormat="1">
      <c r="A9" s="448" t="s">
        <v>555</v>
      </c>
      <c r="B9" s="449">
        <f>transport!B14</f>
        <v>2.4353537759272221</v>
      </c>
      <c r="C9" s="449">
        <f>transport!C14</f>
        <v>0</v>
      </c>
      <c r="D9" s="449">
        <f>transport!D14</f>
        <v>7.7737740227284275</v>
      </c>
      <c r="E9" s="449">
        <f>transport!E14</f>
        <v>868.76286673791094</v>
      </c>
      <c r="F9" s="449">
        <f>transport!F14</f>
        <v>0</v>
      </c>
      <c r="G9" s="449">
        <f>transport!G14</f>
        <v>164106.9243830512</v>
      </c>
      <c r="H9" s="449">
        <f>transport!H14</f>
        <v>27482.809345270023</v>
      </c>
      <c r="I9" s="449">
        <f>transport!I14</f>
        <v>0</v>
      </c>
      <c r="J9" s="449">
        <f>transport!J14</f>
        <v>0</v>
      </c>
      <c r="K9" s="449">
        <f>transport!K14</f>
        <v>0</v>
      </c>
      <c r="L9" s="449">
        <f>transport!L14</f>
        <v>0</v>
      </c>
      <c r="M9" s="449">
        <f>transport!M14</f>
        <v>8334.489220803267</v>
      </c>
      <c r="N9" s="449">
        <f>transport!N14</f>
        <v>0</v>
      </c>
      <c r="O9" s="449">
        <f>transport!O14</f>
        <v>0</v>
      </c>
      <c r="P9" s="449">
        <f>transport!P14</f>
        <v>0</v>
      </c>
      <c r="Q9" s="448">
        <f>SUM(B9:P9)</f>
        <v>200803.19494366104</v>
      </c>
    </row>
    <row r="10" spans="1:17">
      <c r="A10" s="444" t="s">
        <v>545</v>
      </c>
      <c r="B10" s="445">
        <f>transport!B54</f>
        <v>9.3329130260047517</v>
      </c>
      <c r="C10" s="445">
        <f>transport!C54</f>
        <v>0</v>
      </c>
      <c r="D10" s="445">
        <f>transport!D54</f>
        <v>0</v>
      </c>
      <c r="E10" s="445">
        <f>transport!E54</f>
        <v>0</v>
      </c>
      <c r="F10" s="445">
        <f>transport!F54</f>
        <v>0</v>
      </c>
      <c r="G10" s="445">
        <f>transport!G54</f>
        <v>2024.6817798669165</v>
      </c>
      <c r="H10" s="445">
        <f>transport!H54</f>
        <v>0</v>
      </c>
      <c r="I10" s="445">
        <f>transport!I54</f>
        <v>0</v>
      </c>
      <c r="J10" s="445">
        <f>transport!J54</f>
        <v>0</v>
      </c>
      <c r="K10" s="445">
        <f>transport!K54</f>
        <v>0</v>
      </c>
      <c r="L10" s="445">
        <f>transport!L54</f>
        <v>0</v>
      </c>
      <c r="M10" s="445">
        <f>transport!M54</f>
        <v>86.689096506983006</v>
      </c>
      <c r="N10" s="445">
        <f>transport!N54</f>
        <v>0</v>
      </c>
      <c r="O10" s="445">
        <f>transport!O54</f>
        <v>0</v>
      </c>
      <c r="P10" s="446">
        <f>transport!P54</f>
        <v>0</v>
      </c>
      <c r="Q10" s="444">
        <f t="shared" si="0"/>
        <v>2120.7037893999041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2059.1464248286602</v>
      </c>
      <c r="C14" s="452"/>
      <c r="D14" s="452">
        <f>'SEAP template'!E25</f>
        <v>5024.6460632749004</v>
      </c>
      <c r="E14" s="452"/>
      <c r="F14" s="452"/>
      <c r="G14" s="452"/>
      <c r="H14" s="452"/>
      <c r="I14" s="452"/>
      <c r="J14" s="452"/>
      <c r="K14" s="452"/>
      <c r="L14" s="452"/>
      <c r="M14" s="452"/>
      <c r="N14" s="452"/>
      <c r="O14" s="452"/>
      <c r="P14" s="453"/>
      <c r="Q14" s="444">
        <f t="shared" si="0"/>
        <v>7083.7924881035606</v>
      </c>
    </row>
    <row r="15" spans="1:17" s="457" customFormat="1">
      <c r="A15" s="454" t="s">
        <v>549</v>
      </c>
      <c r="B15" s="455">
        <f ca="1">SUM(B4:B14)</f>
        <v>242502.52882719657</v>
      </c>
      <c r="C15" s="455">
        <f t="shared" ref="C15:Q15" ca="1" si="1">SUM(C4:C14)</f>
        <v>7515</v>
      </c>
      <c r="D15" s="455">
        <f t="shared" ca="1" si="1"/>
        <v>192232.40373376021</v>
      </c>
      <c r="E15" s="455">
        <f t="shared" si="1"/>
        <v>4798.3213395517623</v>
      </c>
      <c r="F15" s="455">
        <f t="shared" ca="1" si="1"/>
        <v>111141.74425371544</v>
      </c>
      <c r="G15" s="455">
        <f t="shared" si="1"/>
        <v>166131.60616291812</v>
      </c>
      <c r="H15" s="455">
        <f t="shared" si="1"/>
        <v>27482.809345270023</v>
      </c>
      <c r="I15" s="455">
        <f t="shared" si="1"/>
        <v>0</v>
      </c>
      <c r="J15" s="455">
        <f t="shared" si="1"/>
        <v>2543.5574751323229</v>
      </c>
      <c r="K15" s="455">
        <f t="shared" si="1"/>
        <v>0</v>
      </c>
      <c r="L15" s="455">
        <f t="shared" ca="1" si="1"/>
        <v>0</v>
      </c>
      <c r="M15" s="455">
        <f t="shared" si="1"/>
        <v>8421.1783173102503</v>
      </c>
      <c r="N15" s="455">
        <f t="shared" ca="1" si="1"/>
        <v>13982.148430508574</v>
      </c>
      <c r="O15" s="455">
        <f t="shared" si="1"/>
        <v>136.01000000000002</v>
      </c>
      <c r="P15" s="455">
        <f t="shared" si="1"/>
        <v>743.6</v>
      </c>
      <c r="Q15" s="455">
        <f t="shared" ca="1" si="1"/>
        <v>777630.90788536344</v>
      </c>
    </row>
    <row r="17" spans="1:17">
      <c r="A17" s="458" t="s">
        <v>550</v>
      </c>
      <c r="B17" s="725">
        <f ca="1">huishoudens!B10</f>
        <v>0.21368589249303307</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8988.5218560697485</v>
      </c>
      <c r="C22" s="445">
        <f t="shared" ref="C22:C32" ca="1" si="3">C4*$C$17</f>
        <v>0</v>
      </c>
      <c r="D22" s="445">
        <f t="shared" ref="D22:D32" si="4">D4*$D$17</f>
        <v>18550.424097960204</v>
      </c>
      <c r="E22" s="445">
        <f t="shared" ref="E22:E32" si="5">E4*$E$17</f>
        <v>468.88996216580523</v>
      </c>
      <c r="F22" s="445">
        <f t="shared" ref="F22:F32" si="6">F4*$F$17</f>
        <v>18825.588340955968</v>
      </c>
      <c r="G22" s="445">
        <f t="shared" ref="G22:G32" si="7">G4*$G$17</f>
        <v>0</v>
      </c>
      <c r="H22" s="445">
        <f t="shared" ref="H22:H32" si="8">H4*$H$17</f>
        <v>0</v>
      </c>
      <c r="I22" s="445">
        <f t="shared" ref="I22:I32" si="9">I4*$I$17</f>
        <v>0</v>
      </c>
      <c r="J22" s="445">
        <f t="shared" ref="J22:J32" si="10">J4*$J$17</f>
        <v>562.03071345537592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47395.454970607097</v>
      </c>
    </row>
    <row r="23" spans="1:17">
      <c r="A23" s="444" t="s">
        <v>149</v>
      </c>
      <c r="B23" s="445">
        <f t="shared" ca="1" si="2"/>
        <v>9051.5649781503489</v>
      </c>
      <c r="C23" s="445">
        <f t="shared" ca="1" si="3"/>
        <v>0</v>
      </c>
      <c r="D23" s="445">
        <f t="shared" ca="1" si="4"/>
        <v>6962.4878786142135</v>
      </c>
      <c r="E23" s="445">
        <f t="shared" si="5"/>
        <v>177.81650008605169</v>
      </c>
      <c r="F23" s="445">
        <f t="shared" ca="1" si="6"/>
        <v>2147.0360173369322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18338.905374187547</v>
      </c>
    </row>
    <row r="24" spans="1:17">
      <c r="A24" s="444" t="s">
        <v>187</v>
      </c>
      <c r="B24" s="445">
        <f t="shared" ca="1" si="2"/>
        <v>456.58286017575625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456.58286017575625</v>
      </c>
    </row>
    <row r="25" spans="1:17">
      <c r="A25" s="444" t="s">
        <v>105</v>
      </c>
      <c r="B25" s="445">
        <f t="shared" ca="1" si="2"/>
        <v>746.75364270762634</v>
      </c>
      <c r="C25" s="445">
        <f t="shared" ca="1" si="3"/>
        <v>1785.9176470588238</v>
      </c>
      <c r="D25" s="445">
        <f t="shared" si="4"/>
        <v>325.78697733684777</v>
      </c>
      <c r="E25" s="445">
        <f t="shared" si="5"/>
        <v>7.1484733883737031</v>
      </c>
      <c r="F25" s="445">
        <f t="shared" si="6"/>
        <v>3496.229944634671</v>
      </c>
      <c r="G25" s="445">
        <f t="shared" si="7"/>
        <v>0</v>
      </c>
      <c r="H25" s="445">
        <f t="shared" si="8"/>
        <v>0</v>
      </c>
      <c r="I25" s="445">
        <f t="shared" si="9"/>
        <v>0</v>
      </c>
      <c r="J25" s="445">
        <f t="shared" si="10"/>
        <v>125.18939019714693</v>
      </c>
      <c r="K25" s="445">
        <f t="shared" si="11"/>
        <v>0</v>
      </c>
      <c r="L25" s="445">
        <f t="shared" si="12"/>
        <v>0</v>
      </c>
      <c r="M25" s="445">
        <f t="shared" si="13"/>
        <v>0</v>
      </c>
      <c r="N25" s="445">
        <f t="shared" si="14"/>
        <v>0</v>
      </c>
      <c r="O25" s="445">
        <f t="shared" si="15"/>
        <v>0</v>
      </c>
      <c r="P25" s="446">
        <f t="shared" si="16"/>
        <v>0</v>
      </c>
      <c r="Q25" s="444">
        <f t="shared" ca="1" si="17"/>
        <v>6487.0260753234897</v>
      </c>
    </row>
    <row r="26" spans="1:17">
      <c r="A26" s="444" t="s">
        <v>613</v>
      </c>
      <c r="B26" s="445">
        <f t="shared" ca="1" si="2"/>
        <v>32133.420712995492</v>
      </c>
      <c r="C26" s="445">
        <f t="shared" ca="1" si="3"/>
        <v>0</v>
      </c>
      <c r="D26" s="445">
        <f t="shared" si="4"/>
        <v>11975.697793174177</v>
      </c>
      <c r="E26" s="445">
        <f t="shared" si="5"/>
        <v>238.15483768851357</v>
      </c>
      <c r="F26" s="445">
        <f t="shared" si="6"/>
        <v>5205.9914128144546</v>
      </c>
      <c r="G26" s="445">
        <f t="shared" si="7"/>
        <v>0</v>
      </c>
      <c r="H26" s="445">
        <f t="shared" si="8"/>
        <v>0</v>
      </c>
      <c r="I26" s="445">
        <f t="shared" si="9"/>
        <v>0</v>
      </c>
      <c r="J26" s="445">
        <f t="shared" si="10"/>
        <v>213.19924254431945</v>
      </c>
      <c r="K26" s="445">
        <f t="shared" si="11"/>
        <v>0</v>
      </c>
      <c r="L26" s="445">
        <f t="shared" si="12"/>
        <v>0</v>
      </c>
      <c r="M26" s="445">
        <f t="shared" si="13"/>
        <v>0</v>
      </c>
      <c r="N26" s="445">
        <f t="shared" si="14"/>
        <v>0</v>
      </c>
      <c r="O26" s="445">
        <f t="shared" si="15"/>
        <v>0</v>
      </c>
      <c r="P26" s="446">
        <f t="shared" si="16"/>
        <v>0</v>
      </c>
      <c r="Q26" s="444">
        <f t="shared" ca="1" si="17"/>
        <v>49766.463999216947</v>
      </c>
    </row>
    <row r="27" spans="1:17" s="450" customFormat="1">
      <c r="A27" s="448" t="s">
        <v>555</v>
      </c>
      <c r="B27" s="719">
        <f t="shared" ca="1" si="2"/>
        <v>0.52040074514528656</v>
      </c>
      <c r="C27" s="449">
        <f t="shared" ca="1" si="3"/>
        <v>0</v>
      </c>
      <c r="D27" s="449">
        <f t="shared" si="4"/>
        <v>1.5703023525911424</v>
      </c>
      <c r="E27" s="449">
        <f t="shared" si="5"/>
        <v>197.2091707495058</v>
      </c>
      <c r="F27" s="449">
        <f t="shared" si="6"/>
        <v>0</v>
      </c>
      <c r="G27" s="449">
        <f t="shared" si="7"/>
        <v>43816.548810274675</v>
      </c>
      <c r="H27" s="449">
        <f t="shared" si="8"/>
        <v>6843.2195269722361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50859.068211094156</v>
      </c>
    </row>
    <row r="28" spans="1:17">
      <c r="A28" s="444" t="s">
        <v>545</v>
      </c>
      <c r="B28" s="445">
        <f t="shared" ca="1" si="2"/>
        <v>1.9943118495216794</v>
      </c>
      <c r="C28" s="445">
        <f t="shared" ca="1" si="3"/>
        <v>0</v>
      </c>
      <c r="D28" s="445">
        <f t="shared" si="4"/>
        <v>0</v>
      </c>
      <c r="E28" s="445">
        <f t="shared" si="5"/>
        <v>0</v>
      </c>
      <c r="F28" s="445">
        <f t="shared" si="6"/>
        <v>0</v>
      </c>
      <c r="G28" s="445">
        <f t="shared" si="7"/>
        <v>540.59003522446676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542.5843470739884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440.0105415633505</v>
      </c>
      <c r="C32" s="445">
        <f t="shared" ca="1" si="3"/>
        <v>0</v>
      </c>
      <c r="D32" s="445">
        <f t="shared" si="4"/>
        <v>1014.97850478153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1454.9890463448805</v>
      </c>
    </row>
    <row r="33" spans="1:17" s="457" customFormat="1">
      <c r="A33" s="454" t="s">
        <v>549</v>
      </c>
      <c r="B33" s="455">
        <f ca="1">SUM(B22:B32)</f>
        <v>51819.369304256994</v>
      </c>
      <c r="C33" s="455">
        <f t="shared" ref="C33:Q33" ca="1" si="19">SUM(C22:C32)</f>
        <v>1785.9176470588238</v>
      </c>
      <c r="D33" s="455">
        <f t="shared" ca="1" si="19"/>
        <v>38830.945554219565</v>
      </c>
      <c r="E33" s="455">
        <f t="shared" si="19"/>
        <v>1089.2189440782499</v>
      </c>
      <c r="F33" s="455">
        <f t="shared" ca="1" si="19"/>
        <v>29674.845715742027</v>
      </c>
      <c r="G33" s="455">
        <f t="shared" si="19"/>
        <v>44357.138845499139</v>
      </c>
      <c r="H33" s="455">
        <f t="shared" si="19"/>
        <v>6843.2195269722361</v>
      </c>
      <c r="I33" s="455">
        <f t="shared" si="19"/>
        <v>0</v>
      </c>
      <c r="J33" s="455">
        <f t="shared" si="19"/>
        <v>900.4193461968423</v>
      </c>
      <c r="K33" s="455">
        <f t="shared" si="19"/>
        <v>0</v>
      </c>
      <c r="L33" s="455">
        <f t="shared" ca="1" si="19"/>
        <v>0</v>
      </c>
      <c r="M33" s="455">
        <f t="shared" si="19"/>
        <v>0</v>
      </c>
      <c r="N33" s="455">
        <f t="shared" ca="1" si="19"/>
        <v>0</v>
      </c>
      <c r="O33" s="455">
        <f t="shared" si="19"/>
        <v>0</v>
      </c>
      <c r="P33" s="455">
        <f t="shared" si="19"/>
        <v>0</v>
      </c>
      <c r="Q33" s="455">
        <f t="shared" ca="1" si="19"/>
        <v>175301.07488402384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7080.9973732789276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5260.5</v>
      </c>
      <c r="D8" s="963">
        <f>'SEAP template'!D76</f>
        <v>6188.8235294117649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1250.1423529411766</v>
      </c>
    </row>
    <row r="9" spans="1:16">
      <c r="A9" s="966" t="s">
        <v>877</v>
      </c>
      <c r="B9" s="963">
        <f>'SEAP template'!B77</f>
        <v>1341</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3831.4285714285716</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8421.9973732789276</v>
      </c>
      <c r="C10" s="967">
        <f>SUM(C4:C9)</f>
        <v>5260.5</v>
      </c>
      <c r="D10" s="967">
        <f t="shared" ref="D10:H10" si="0">SUM(D8:D9)</f>
        <v>6188.8235294117649</v>
      </c>
      <c r="E10" s="967">
        <f t="shared" si="0"/>
        <v>0</v>
      </c>
      <c r="F10" s="967">
        <f t="shared" si="0"/>
        <v>0</v>
      </c>
      <c r="G10" s="967">
        <f t="shared" si="0"/>
        <v>0</v>
      </c>
      <c r="H10" s="967">
        <f t="shared" si="0"/>
        <v>0</v>
      </c>
      <c r="I10" s="967">
        <f>SUM(I8:I9)</f>
        <v>0</v>
      </c>
      <c r="J10" s="967">
        <f>SUM(J8:J9)</f>
        <v>3831.4285714285716</v>
      </c>
      <c r="K10" s="967">
        <f t="shared" ref="K10:L10" si="1">SUM(K8:K9)</f>
        <v>0</v>
      </c>
      <c r="L10" s="967">
        <f t="shared" si="1"/>
        <v>0</v>
      </c>
      <c r="M10" s="967">
        <f>SUM(M8:M9)</f>
        <v>0</v>
      </c>
      <c r="N10" s="967">
        <f>SUM(N8:N9)</f>
        <v>0</v>
      </c>
      <c r="O10" s="967">
        <f>SUM(O8:O9)</f>
        <v>0</v>
      </c>
      <c r="P10" s="967">
        <f>SUM(P8:P9)</f>
        <v>1250.1423529411766</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0.21368589249303307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7515</v>
      </c>
      <c r="D17" s="964">
        <f>'SEAP template'!D87</f>
        <v>8841.176470588236</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1785.9176470588238</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7515</v>
      </c>
      <c r="D20" s="967">
        <f t="shared" ref="D20:H20" si="2">SUM(D17:D19)</f>
        <v>8841.176470588236</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1785.9176470588238</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0.21368589249303307</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2022-07-26T12:47:51Z</dcterms:modified>
</cp:coreProperties>
</file>