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9AB4CF9-866E-45C7-8985-4731664B810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<sst xmlns="http://schemas.openxmlformats.org/spreadsheetml/2006/main" count="2518" uniqueCount="965">
  <si>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</si>
  <si>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</si>
  <si>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</si>
  <si>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</si>
  <si>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</si>
  <si>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</si>
  <si>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</si>
  <si>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</si>
  <si>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</si>
  <si>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</si>
  <si>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</si>
  <si>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</si>
  <si>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</si>
  <si>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</si>
  <si>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</si>
  <si>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</si>
  <si>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</si>
  <si>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</si>
  <si>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</si>
  <si>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</si>
  <si>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</si>
  <si>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</si>
  <si>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</si>
  <si>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</si>
  <si>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</si>
  <si>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</si>
  <si>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</si>
  <si>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</si>
  <si>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</si>
  <si>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</si>
  <si>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</si>
  <si>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</si>
  <si>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</si>
  <si>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</si>
  <si>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</si>
  <si>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</si>
  <si>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</si>
  <si>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</si>
  <si>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</si>
  <si>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</si>
  <si>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</si>
  <si>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</si>
  <si>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</si>
  <si>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</si>
  <si>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</si>
  <si>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</si>
  <si>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</si>
  <si>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</si>
  <si>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</si>
  <si>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</si>
  <si>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</si>
  <si>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</si>
  <si>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</si>
  <si>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</si>
  <si>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</si>
  <si>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</si>
  <si>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</si>
  <si>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</si>
  <si>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</si>
  <si>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</si>
  <si>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</si>
  <si>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</si>
  <si>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</si>
  <si>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</si>
  <si>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</si>
  <si>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</si>
  <si>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</si>
  <si>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</si>
  <si>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</si>
  <si>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</si>
  <si>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</si>
  <si>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</si>
  <si>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</si>
  <si>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</si>
  <si>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</si>
  <si>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</si>
  <si>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</si>
  <si>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</si>
  <si>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</si>
  <si>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</si>
  <si>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</si>
  <si>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</si>
  <si>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</si>
  <si>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</si>
  <si>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</si>
  <si>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</si>
  <si>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</si>
  <si>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</si>
  <si>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</si>
  <si>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</si>
  <si>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</si>
  <si>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</si>
  <si>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</si>
  <si>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</si>
  <si>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</si>
  <si>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</si>
  <si>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</si>
  <si>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</si>
  <si>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</si>
  <si>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</si>
  <si>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</si>
  <si>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</si>
  <si>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</si>
  <si>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</si>
  <si>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</si>
  <si>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</si>
  <si>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</si>
  <si>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</si>
  <si>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</si>
  <si>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</si>
  <si>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</si>
  <si>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</si>
  <si>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</si>
  <si>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</si>
  <si>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</si>
  <si>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</si>
  <si>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</si>
  <si>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</si>
  <si>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</si>
  <si>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</si>
  <si>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</si>
  <si>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</si>
  <si>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</si>
  <si>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</si>
  <si>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</si>
  <si>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</si>
  <si>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</si>
  <si>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</si>
  <si>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</si>
  <si>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</si>
  <si>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</si>
  <si>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</si>
  <si>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</si>
  <si>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</si>
  <si>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</si>
  <si>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</si>
  <si>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</si>
  <si>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</si>
  <si>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</si>
  <si>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</si>
  <si>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</si>
  <si>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</si>
  <si>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</si>
  <si>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</si>
  <si>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</si>
  <si>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</si>
  <si>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</si>
  <si>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</si>
  <si>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</si>
  <si>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</si>
  <si>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</si>
  <si>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</si>
  <si>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</si>
  <si>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</si>
  <si>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</si>
  <si>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</si>
  <si>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</si>
  <si>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</si>
  <si>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</si>
  <si>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</si>
  <si>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</si>
  <si>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</si>
  <si>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</si>
  <si>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</si>
  <si>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</si>
  <si>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</si>
  <si>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</si>
  <si>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</si>
  <si>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</si>
  <si>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</si>
  <si>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</si>
  <si>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</si>
  <si>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</si>
  <si>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</si>
  <si>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</si>
  <si>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</si>
  <si>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</si>
  <si>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</si>
  <si>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</si>
  <si>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</si>
  <si>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</si>
  <si>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</si>
  <si>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</si>
  <si>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</si>
  <si>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</si>
  <si>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</si>
  <si>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</si>
  <si>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</si>
  <si>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</si>
  <si>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</si>
  <si>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</si>
  <si>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</si>
  <si>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</si>
  <si>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</si>
  <si>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</si>
  <si>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</si>
  <si>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</si>
  <si>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</si>
  <si>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</si>
  <si>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</si>
  <si>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</si>
  <si>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</si>
  <si>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</si>
  <si>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</si>
  <si>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</si>
  <si>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</si>
  <si>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</si>
  <si>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</si>
  <si>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</si>
  <si>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</si>
  <si>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</si>
  <si>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</si>
  <si>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</si>
  <si>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</si>
  <si>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</si>
  <si>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</si>
  <si>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</si>
  <si>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</si>
  <si>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</si>
  <si>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</si>
  <si>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</si>
  <si>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</si>
  <si>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</si>
  <si>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</si>
  <si>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</si>
  <si>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</si>
  <si>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</si>
  <si>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</si>
  <si>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</si>
  <si>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</si>
  <si>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</si>
  <si>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</si>
  <si>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</si>
  <si>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</si>
  <si>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</si>
  <si>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</si>
  <si>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</si>
  <si>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</si>
  <si>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</si>
  <si>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</si>
  <si>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</si>
  <si>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</si>
  <si>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</si>
  <si>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</si>
  <si>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</si>
  <si>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</si>
  <si>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</si>
  <si>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</si>
  <si>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</si>
  <si>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</si>
  <si>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</si>
  <si>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</si>
  <si>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</si>
  <si>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</si>
  <si>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</si>
  <si>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</si>
  <si>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</si>
  <si>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</si>
  <si>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</si>
  <si>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</si>
  <si>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</si>
  <si>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</si>
  <si>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</si>
  <si>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</si>
  <si>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</si>
  <si>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</si>
  <si>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</si>
  <si>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</si>
  <si>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</si>
  <si>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</si>
  <si>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</si>
  <si>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</si>
  <si>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</si>
  <si>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</si>
  <si>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</si>
  <si>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</si>
  <si>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</si>
  <si>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</si>
  <si>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</si>
  <si>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</si>
  <si>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</si>
  <si>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</si>
  <si>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</si>
  <si>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</si>
  <si>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</si>
  <si>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</si>
  <si>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</si>
  <si>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</si>
  <si>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</si>
  <si>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</si>
  <si>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</si>
  <si>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</si>
  <si>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</si>
  <si>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</si>
  <si>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</si>
  <si>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</si>
  <si>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</si>
  <si>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</si>
  <si>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</si>
  <si>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</si>
  <si>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</si>
  <si>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</si>
  <si>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</si>
  <si>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</si>
  <si>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</si>
  <si>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</si>
  <si>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</si>
  <si>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</si>
  <si>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</si>
  <si>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</si>
  <si>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</si>
  <si>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</si>
  <si>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</si>
  <si>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</si>
  <si>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</si>
  <si>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</si>
  <si>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</si>
  <si>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</si>
  <si>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</si>
  <si>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</si>
  <si>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</si>
  <si>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</si>
  <si>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</si>
  <si>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</si>
  <si>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</si>
  <si>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</si>
  <si>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</si>
  <si>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</si>
  <si>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</si>
  <si>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</si>
  <si>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</si>
  <si>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</si>
  <si>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</si>
  <si>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</si>
  <si>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</si>
  <si>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</si>
  <si>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</si>
  <si>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</si>
  <si>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</si>
  <si>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</si>
  <si>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</si>
  <si>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</si>
  <si>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</si>
  <si>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</si>
  <si>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</si>
  <si>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</si>
  <si>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</si>
  <si>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</si>
  <si>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</si>
  <si>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</si>
  <si>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</si>
  <si>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</si>
  <si>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</si>
  <si>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</si>
  <si>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</si>
  <si>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</si>
  <si>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</si>
  <si>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</si>
  <si>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</si>
  <si>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</si>
  <si>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</si>
  <si>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</si>
  <si>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</si>
  <si>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</si>
  <si>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</si>
  <si>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</si>
  <si>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</si>
  <si>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</si>
  <si>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</si>
  <si>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</si>
  <si>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</si>
  <si>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</si>
  <si>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</si>
  <si>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</si>
  <si>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</si>
  <si>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</si>
  <si>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</si>
  <si>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</si>
  <si>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</si>
  <si>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</si>
  <si>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</si>
  <si>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</si>
  <si>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</si>
  <si>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</si>
  <si>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</si>
  <si>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</si>
  <si>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</si>
  <si>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</si>
  <si>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</si>
  <si>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</si>
  <si>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</si>
  <si>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</si>
  <si>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</si>
  <si>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</si>
  <si>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</si>
  <si>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</si>
  <si>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</si>
  <si>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</si>
  <si>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</si>
  <si>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</si>
  <si>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</si>
  <si>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</si>
  <si>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</si>
  <si>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</si>
  <si>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</si>
  <si>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</si>
  <si>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</si>
  <si>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</si>
  <si>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</si>
  <si>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</si>
  <si>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</si>
  <si>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</si>
  <si>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</si>
  <si>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</si>
  <si>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</si>
  <si>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</si>
  <si>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</si>
  <si>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</si>
  <si>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</si>
  <si>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</si>
  <si>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</si>
  <si>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</si>
  <si>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</si>
  <si>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</si>
  <si>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</si>
  <si>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</si>
  <si>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</si>
  <si>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</si>
  <si>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</si>
  <si>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</si>
  <si>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</si>
  <si>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</si>
  <si>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</si>
  <si>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</si>
  <si>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</si>
  <si>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</si>
  <si>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</si>
  <si>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</si>
  <si>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</si>
  <si>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</si>
  <si>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</si>
  <si>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</si>
  <si>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</si>
  <si>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</si>
  <si>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</si>
  <si>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</si>
  <si>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</si>
  <si>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</si>
  <si>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</si>
  <si>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</si>
  <si>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</si>
  <si>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</si>
  <si>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</si>
  <si>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</si>
  <si>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</si>
  <si>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</si>
  <si>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</si>
  <si>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</si>
  <si>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</si>
  <si>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</si>
  <si>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</si>
  <si>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</si>
  <si>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</si>
  <si>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</si>
  <si>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</si>
  <si>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</si>
  <si>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</si>
  <si>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</si>
  <si>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</si>
  <si>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</si>
  <si>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</si>
  <si>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</si>
  <si>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</si>
  <si>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</si>
  <si>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</si>
  <si>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</si>
  <si>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</si>
  <si>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</si>
  <si>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</si>
  <si>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</si>
  <si>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</si>
  <si>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</si>
  <si>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</si>
  <si>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</si>
  <si>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</si>
  <si>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</si>
  <si>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</si>
  <si>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</si>
  <si>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</si>
  <si>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</si>
  <si>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</si>
  <si>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</si>
  <si>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</si>
  <si>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</si>
  <si>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</si>
  <si>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</si>
  <si>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</si>
  <si>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</si>
  <si>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</si>
  <si>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</si>
  <si>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</si>
  <si>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</si>
  <si>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</si>
  <si>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</si>
  <si>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</si>
  <si>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</si>
  <si>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</si>
  <si>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</si>
  <si>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</si>
  <si>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</si>
  <si>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</si>
  <si>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</si>
  <si>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</si>
  <si>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</si>
  <si>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</si>
  <si>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</si>
  <si>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</si>
  <si>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</si>
  <si>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</si>
  <si>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</si>
  <si>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</si>
  <si>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</si>
  <si>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</si>
  <si>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</si>
  <si>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</si>
  <si>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</si>
  <si>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</si>
  <si>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</si>
  <si>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</si>
  <si>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</si>
  <si>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</si>
  <si>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</si>
  <si>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</si>
  <si>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</si>
  <si>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</si>
  <si>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</si>
  <si>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</si>
  <si>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</si>
  <si>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</si>
  <si>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</si>
  <si>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</si>
  <si>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</si>
  <si>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</si>
  <si>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</si>
  <si>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</si>
  <si>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</si>
  <si>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</si>
  <si>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</si>
  <si>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</si>
  <si>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</si>
  <si>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</si>
  <si>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</si>
  <si>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</si>
  <si>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</si>
  <si>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</si>
  <si>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</si>
  <si>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</si>
  <si>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</si>
  <si>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</si>
  <si>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</si>
  <si>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</si>
  <si>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</si>
  <si>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</si>
  <si>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</si>
  <si>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</si>
  <si>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</si>
  <si>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</si>
  <si>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</si>
  <si>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</si>
  <si>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</si>
  <si>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</si>
  <si>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</si>
  <si>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</si>
  <si>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</si>
  <si>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</si>
  <si>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</si>
  <si>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</si>
  <si>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</si>
  <si>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</si>
  <si>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</si>
  <si>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</si>
  <si>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</si>
  <si>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</si>
  <si>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</si>
  <si>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</si>
  <si>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</si>
  <si>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</si>
  <si>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</si>
  <si>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</si>
  <si>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</si>
  <si>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</si>
  <si>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</si>
  <si>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</si>
  <si>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</si>
  <si>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</si>
  <si>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</si>
  <si>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</si>
  <si>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</si>
  <si>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</si>
  <si>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</si>
  <si>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</si>
  <si>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</si>
  <si>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</si>
  <si>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</si>
  <si>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</si>
  <si>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</si>
  <si>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</si>
  <si>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</si>
  <si>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</si>
  <si>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</si>
  <si>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</si>
  <si>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</si>
  <si>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</si>
  <si>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</si>
  <si>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</si>
  <si>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</si>
  <si>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</si>
  <si>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</si>
  <si>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</si>
  <si>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</si>
  <si>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</si>
  <si>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</si>
  <si>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</si>
  <si>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</si>
  <si>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</si>
  <si>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</si>
  <si>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</si>
  <si>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</si>
  <si>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</si>
  <si>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</si>
  <si>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</si>
  <si>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</si>
  <si>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</si>
  <si>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</si>
  <si>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</si>
  <si>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</si>
  <si>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</si>
  <si>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</si>
  <si>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</si>
  <si>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</si>
  <si>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</si>
  <si>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</si>
  <si>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</si>
  <si>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</si>
  <si>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</si>
  <si>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</si>
  <si>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</si>
  <si>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</si>
  <si>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</si>
  <si>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</si>
  <si>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</si>
  <si>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</si>
  <si>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</si>
  <si>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</si>
  <si>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</si>
  <si>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</si>
  <si>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</si>
  <si>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</si>
  <si>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</si>
  <si>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</si>
  <si>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</si>
  <si>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</si>
  <si>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</si>
  <si>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</si>
  <si>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</si>
  <si>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</si>
  <si>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</si>
  <si>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</si>
  <si>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</si>
  <si>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</si>
  <si>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</si>
  <si>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</si>
  <si>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</si>
  <si>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</si>
  <si>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</si>
  <si>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</si>
  <si>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</si>
  <si>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</si>
  <si>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</si>
  <si>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</si>
  <si>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</si>
  <si>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</si>
  <si>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</si>
  <si>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</si>
  <si>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</si>
  <si>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</si>
  <si>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</si>
  <si>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</si>
  <si>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</si>
  <si>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</si>
  <si>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</si>
  <si>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</si>
  <si>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</si>
  <si>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</si>
  <si>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</si>
  <si>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</si>
  <si>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</si>
  <si>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</si>
  <si>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</si>
  <si>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</si>
  <si>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</si>
  <si>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</si>
  <si>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</si>
  <si>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</si>
  <si>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</si>
  <si>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</si>
  <si>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</si>
  <si>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</si>
  <si>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</si>
  <si>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</si>
  <si>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</si>
  <si>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</si>
  <si>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</si>
  <si>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</si>
  <si>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</si>
  <si>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</si>
  <si>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</si>
  <si>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</si>
  <si>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</si>
  <si>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</si>
  <si>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</si>
  <si>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</si>
  <si>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</si>
  <si>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</si>
  <si>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</si>
  <si>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</si>
  <si>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</si>
  <si>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</si>
  <si>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</si>
  <si>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</si>
  <si>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</si>
  <si>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</si>
  <si>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</si>
  <si>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</si>
  <si>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</si>
  <si>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</si>
  <si>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</si>
  <si>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</si>
  <si>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</si>
  <si>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</si>
  <si>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</si>
  <si>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</si>
  <si>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</si>
  <si>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</si>
  <si>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</si>
  <si>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</si>
  <si>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</si>
  <si>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</si>
  <si>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</si>
  <si>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</si>
  <si>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</si>
  <si>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</si>
  <si>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</si>
  <si>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</si>
  <si>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</si>
  <si>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</si>
  <si>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</si>
  <si>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</si>
  <si>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</si>
  <si>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</si>
  <si>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</si>
  <si>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</si>
  <si>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</si>
  <si>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</si>
  <si>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</si>
  <si>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</si>
  <si>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</si>
  <si>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</si>
  <si>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</si>
  <si>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</si>
  <si>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</si>
  <si>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</si>
  <si>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</si>
  <si>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</si>
  <si>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</si>
  <si>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</si>
  <si>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</si>
  <si>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</si>
  <si>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</si>
  <si>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</si>
  <si>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</si>
  <si>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</si>
  <si>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</si>
  <si>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</si>
  <si>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</si>
  <si>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</si>
  <si>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</si>
  <si>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</si>
  <si>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</si>
  <si>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</si>
  <si>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</si>
  <si>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</si>
  <si>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</si>
  <si>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</si>
  <si>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</si>
  <si>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</si>
  <si>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</si>
  <si>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</si>
  <si>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</si>
  <si>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</si>
  <si>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</si>
  <si>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</si>
  <si>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</si>
  <si>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</si>
  <si>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</si>
  <si>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</si>
  <si>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</si>
  <si>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</si>
  <si>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</si>
  <si>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</si>
  <si>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</si>
  <si>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</si>
  <si>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</si>
  <si>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</si>
  <si>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</si>
  <si>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</si>
  <si>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</si>
  <si>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</si>
  <si>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</si>
  <si>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</si>
  <si>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</si>
  <si>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</si>
  <si>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</si>
  <si>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</si>
  <si>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</si>
  <si>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</si>
  <si>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</si>
  <si>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</si>
  <si>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</si>
  <si>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</si>
  <si>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</si>
  <si>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</si>
  <si>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</si>
  <si>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</si>
  <si>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</si>
  <si>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</si>
  <si>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</si>
  <si>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</si>
  <si>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</si>
  <si>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</si>
  <si>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</si>
  <si>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</si>
  <si>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</si>
  <si>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</si>
  <si>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</si>
  <si>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</si>
  <si>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</si>
  <si>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</si>
  <si>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</si>
  <si>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</si>
  <si>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</si>
  <si>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</si>
  <si>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</si>
  <si>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</si>
  <si>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</si>
  <si>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</si>
  <si>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</si>
  <si>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</si>
  <si>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</si>
  <si>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</si>
  <si>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</si>
  <si>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</si>
  <si>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</si>
  <si>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</si>
  <si>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</si>
  <si>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</si>
  <si>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</si>
  <si>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</si>
  <si>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</si>
  <si>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</si>
  <si>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</si>
  <si>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</si>
  <si>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</si>
  <si>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</si>
  <si>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</si>
  <si>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</si>
  <si>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</si>
  <si>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</si>
  <si>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</si>
  <si>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</si>
  <si>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</si>
  <si>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</si>
  <si>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</si>
  <si>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</si>
  <si>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</si>
  <si>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</si>
  <si>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</si>
  <si>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</si>
  <si>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</si>
  <si>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</si>
  <si>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</si>
  <si>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</si>
  <si>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</si>
  <si>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</si>
  <si>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</si>
  <si>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</si>
  <si>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</si>
  <si>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</si>
  <si>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</si>
  <si>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</si>
  <si>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</si>
  <si>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</si>
  <si>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</si>
  <si>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</si>
  <si>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</si>
  <si>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</si>
  <si>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</si>
  <si>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</si>
  <si>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</si>
  <si>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</si>
  <si>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</si>
  <si>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</si>
  <si>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</si>
  <si>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</si>
  <si>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</si>
  <si>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</si>
  <si>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</si>
  <si>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</si>
  <si>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</si>
  <si>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</si>
  <si>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</si>
  <si>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</si>
  <si>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</si>
  <si>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</si>
  <si>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</si>
  <si>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</si>
  <si>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</si>
  <si>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</si>
  <si>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</si>
  <si>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</si>
  <si>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</si>
  <si>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</si>
  <si>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</si>
  <si>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</si>
  <si>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</si>
  <si>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</si>
  <si>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</si>
  <si>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</si>
  <si>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</si>
  <si>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</si>
  <si>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</si>
  <si>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</si>
  <si>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</si>
  <si>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</si>
  <si>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</si>
  <si>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</si>
  <si>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</si>
  <si>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</si>
  <si>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</si>
  <si>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</si>
  <si>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</si>
  <si>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</si>
  <si>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</si>
  <si>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</si>
  <si>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</si>
  <si>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</si>
  <si>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</si>
  <si>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13031</t>
  </si>
  <si>
    <t>OUD-TURNHOUT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</si>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</sst>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EA88DFDB-02C1-45F8-A025-2843F5D7A83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13031</v>
      </c>
      <c r="B6" s="382"/>
      <c r="C6" s="383"/>
    </row>
    <row r="7" spans="1:7" s="380" customFormat="1" ht="15.75" customHeight="1">
      <c r="A7" s="384" t="str">
        <f>txtMunicipality</f>
        <v>OUD-TURNHOUT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0.19808943782528654</v>
      </c>
      <c r="C17" s="494">
        <f ca="1">'EF ele_warmte'!B22</f>
        <v>0.23764705882352952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0.19808943782528654</v>
      </c>
      <c r="C29" s="495">
        <f ca="1">'EF ele_warmte'!B22</f>
        <v>0.23764705882352952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5027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1687</v>
      </c>
      <c r="C14" s="324"/>
      <c r="D14" s="324"/>
      <c r="E14" s="324"/>
      <c r="F14" s="324"/>
    </row>
    <row r="15" spans="1:6">
      <c r="A15" s="1235" t="s">
        <v>177</v>
      </c>
      <c r="B15" s="1236">
        <v>2844</v>
      </c>
      <c r="C15" s="324"/>
      <c r="D15" s="324"/>
      <c r="E15" s="324"/>
      <c r="F15" s="324"/>
    </row>
    <row r="16" spans="1:6">
      <c r="A16" s="1235" t="s">
        <v>6</v>
      </c>
      <c r="B16" s="1236">
        <v>1045</v>
      </c>
      <c r="C16" s="324"/>
      <c r="D16" s="324"/>
      <c r="E16" s="324"/>
      <c r="F16" s="324"/>
    </row>
    <row r="17" spans="1:6">
      <c r="A17" s="1235" t="s">
        <v>7</v>
      </c>
      <c r="B17" s="1236">
        <v>249</v>
      </c>
      <c r="C17" s="324"/>
      <c r="D17" s="324"/>
      <c r="E17" s="324"/>
      <c r="F17" s="324"/>
    </row>
    <row r="18" spans="1:6">
      <c r="A18" s="1235" t="s">
        <v>8</v>
      </c>
      <c r="B18" s="1236">
        <v>850</v>
      </c>
      <c r="C18" s="324"/>
      <c r="D18" s="324"/>
      <c r="E18" s="324"/>
      <c r="F18" s="324"/>
    </row>
    <row r="19" spans="1:6">
      <c r="A19" s="1235" t="s">
        <v>9</v>
      </c>
      <c r="B19" s="1236">
        <v>773</v>
      </c>
      <c r="C19" s="324"/>
      <c r="D19" s="324"/>
      <c r="E19" s="324"/>
      <c r="F19" s="324"/>
    </row>
    <row r="20" spans="1:6">
      <c r="A20" s="1235" t="s">
        <v>10</v>
      </c>
      <c r="B20" s="1236">
        <v>670</v>
      </c>
      <c r="C20" s="324"/>
      <c r="D20" s="324"/>
      <c r="E20" s="324"/>
      <c r="F20" s="324"/>
    </row>
    <row r="21" spans="1:6">
      <c r="A21" s="1235" t="s">
        <v>11</v>
      </c>
      <c r="B21" s="1236">
        <v>7103</v>
      </c>
      <c r="C21" s="324"/>
      <c r="D21" s="324"/>
      <c r="E21" s="324"/>
      <c r="F21" s="324"/>
    </row>
    <row r="22" spans="1:6">
      <c r="A22" s="1235" t="s">
        <v>12</v>
      </c>
      <c r="B22" s="1236">
        <v>8763</v>
      </c>
      <c r="C22" s="324"/>
      <c r="D22" s="324"/>
      <c r="E22" s="324"/>
      <c r="F22" s="324"/>
    </row>
    <row r="23" spans="1:6">
      <c r="A23" s="1235" t="s">
        <v>13</v>
      </c>
      <c r="B23" s="1236">
        <v>183</v>
      </c>
      <c r="C23" s="324"/>
      <c r="D23" s="324"/>
      <c r="E23" s="324"/>
      <c r="F23" s="324"/>
    </row>
    <row r="24" spans="1:6">
      <c r="A24" s="1235" t="s">
        <v>14</v>
      </c>
      <c r="B24" s="1236">
        <v>13</v>
      </c>
      <c r="C24" s="324"/>
      <c r="D24" s="324"/>
      <c r="E24" s="324"/>
      <c r="F24" s="324"/>
    </row>
    <row r="25" spans="1:6">
      <c r="A25" s="1235" t="s">
        <v>15</v>
      </c>
      <c r="B25" s="1236">
        <v>797</v>
      </c>
      <c r="C25" s="324"/>
      <c r="D25" s="324"/>
      <c r="E25" s="324"/>
      <c r="F25" s="324"/>
    </row>
    <row r="26" spans="1:6">
      <c r="A26" s="1235" t="s">
        <v>16</v>
      </c>
      <c r="B26" s="1236">
        <v>72</v>
      </c>
      <c r="C26" s="324"/>
      <c r="D26" s="324"/>
      <c r="E26" s="324"/>
      <c r="F26" s="324"/>
    </row>
    <row r="27" spans="1:6">
      <c r="A27" s="1235" t="s">
        <v>17</v>
      </c>
      <c r="B27" s="1236">
        <v>1</v>
      </c>
      <c r="C27" s="324"/>
      <c r="D27" s="324"/>
      <c r="E27" s="324"/>
      <c r="F27" s="324"/>
    </row>
    <row r="28" spans="1:6">
      <c r="A28" s="1235" t="s">
        <v>18</v>
      </c>
      <c r="B28" s="1237">
        <v>283130</v>
      </c>
      <c r="C28" s="324"/>
      <c r="D28" s="324"/>
      <c r="E28" s="324"/>
      <c r="F28" s="324"/>
    </row>
    <row r="29" spans="1:6">
      <c r="A29" s="1235" t="s">
        <v>959</v>
      </c>
      <c r="B29" s="1237">
        <v>83</v>
      </c>
      <c r="C29" s="324"/>
      <c r="D29" s="324"/>
      <c r="E29" s="324"/>
      <c r="F29" s="324"/>
    </row>
    <row r="30" spans="1:6">
      <c r="A30" s="1230" t="s">
        <v>960</v>
      </c>
      <c r="B30" s="1238">
        <v>11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870741.30866501597</v>
      </c>
      <c r="E38" s="1236">
        <v>5</v>
      </c>
      <c r="F38" s="1236">
        <v>48517.845247015102</v>
      </c>
    </row>
    <row r="39" spans="1:6">
      <c r="A39" s="1235" t="s">
        <v>29</v>
      </c>
      <c r="B39" s="1235" t="s">
        <v>30</v>
      </c>
      <c r="C39" s="1236">
        <v>3461</v>
      </c>
      <c r="D39" s="1236">
        <v>76932086.915747002</v>
      </c>
      <c r="E39" s="1236">
        <v>4897</v>
      </c>
      <c r="F39" s="1236">
        <v>23370766.6070612</v>
      </c>
    </row>
    <row r="40" spans="1:6">
      <c r="A40" s="1235" t="s">
        <v>29</v>
      </c>
      <c r="B40" s="1235" t="s">
        <v>28</v>
      </c>
      <c r="C40" s="1236">
        <v>0</v>
      </c>
      <c r="D40" s="1236">
        <v>0</v>
      </c>
      <c r="E40" s="1236">
        <v>0</v>
      </c>
      <c r="F40" s="1236">
        <v>0</v>
      </c>
    </row>
    <row r="41" spans="1:6">
      <c r="A41" s="1235" t="s">
        <v>31</v>
      </c>
      <c r="B41" s="1235" t="s">
        <v>32</v>
      </c>
      <c r="C41" s="1236">
        <v>38</v>
      </c>
      <c r="D41" s="1236">
        <v>835161.61191907397</v>
      </c>
      <c r="E41" s="1236">
        <v>96</v>
      </c>
      <c r="F41" s="1236">
        <v>683931.89019810001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4</v>
      </c>
      <c r="F44" s="1236">
        <v>24727.2401298931</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18</v>
      </c>
      <c r="D48" s="1236">
        <v>810094.41682350996</v>
      </c>
      <c r="E48" s="1236">
        <v>22</v>
      </c>
      <c r="F48" s="1236">
        <v>865574.29786685097</v>
      </c>
    </row>
    <row r="49" spans="1:6">
      <c r="A49" s="1235" t="s">
        <v>31</v>
      </c>
      <c r="B49" s="1235" t="s">
        <v>39</v>
      </c>
      <c r="C49" s="1236">
        <v>0</v>
      </c>
      <c r="D49" s="1236">
        <v>0</v>
      </c>
      <c r="E49" s="1236">
        <v>0</v>
      </c>
      <c r="F49" s="1236">
        <v>0</v>
      </c>
    </row>
    <row r="50" spans="1:6">
      <c r="A50" s="1235" t="s">
        <v>31</v>
      </c>
      <c r="B50" s="1235" t="s">
        <v>40</v>
      </c>
      <c r="C50" s="1236">
        <v>5</v>
      </c>
      <c r="D50" s="1236">
        <v>580337.92748262896</v>
      </c>
      <c r="E50" s="1236">
        <v>7</v>
      </c>
      <c r="F50" s="1236">
        <v>375920.82934180502</v>
      </c>
    </row>
    <row r="51" spans="1:6">
      <c r="A51" s="1235" t="s">
        <v>41</v>
      </c>
      <c r="B51" s="1235" t="s">
        <v>42</v>
      </c>
      <c r="C51" s="1236">
        <v>0</v>
      </c>
      <c r="D51" s="1236">
        <v>0</v>
      </c>
      <c r="E51" s="1236">
        <v>64</v>
      </c>
      <c r="F51" s="1236">
        <v>2488453.50757328</v>
      </c>
    </row>
    <row r="52" spans="1:6">
      <c r="A52" s="1235" t="s">
        <v>41</v>
      </c>
      <c r="B52" s="1235" t="s">
        <v>28</v>
      </c>
      <c r="C52" s="1236">
        <v>4</v>
      </c>
      <c r="D52" s="1236">
        <v>36805666.613050997</v>
      </c>
      <c r="E52" s="1236">
        <v>4</v>
      </c>
      <c r="F52" s="1236">
        <v>61049.336676775798</v>
      </c>
    </row>
    <row r="53" spans="1:6">
      <c r="A53" s="1235" t="s">
        <v>43</v>
      </c>
      <c r="B53" s="1235" t="s">
        <v>44</v>
      </c>
      <c r="C53" s="1236">
        <v>101</v>
      </c>
      <c r="D53" s="1236">
        <v>2457589.8359802798</v>
      </c>
      <c r="E53" s="1236">
        <v>165</v>
      </c>
      <c r="F53" s="1236">
        <v>1246249.07600928</v>
      </c>
    </row>
    <row r="54" spans="1:6">
      <c r="A54" s="1235" t="s">
        <v>45</v>
      </c>
      <c r="B54" s="1235" t="s">
        <v>46</v>
      </c>
      <c r="C54" s="1236">
        <v>0</v>
      </c>
      <c r="D54" s="1236">
        <v>0</v>
      </c>
      <c r="E54" s="1236">
        <v>1</v>
      </c>
      <c r="F54" s="1236">
        <v>678287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11</v>
      </c>
      <c r="D57" s="1236">
        <v>258700.034527771</v>
      </c>
      <c r="E57" s="1236">
        <v>66</v>
      </c>
      <c r="F57" s="1236">
        <v>3203020.3099291599</v>
      </c>
    </row>
    <row r="58" spans="1:6">
      <c r="A58" s="1235" t="s">
        <v>48</v>
      </c>
      <c r="B58" s="1235" t="s">
        <v>50</v>
      </c>
      <c r="C58" s="1236">
        <v>14</v>
      </c>
      <c r="D58" s="1236">
        <v>1082453.5222505799</v>
      </c>
      <c r="E58" s="1236">
        <v>17</v>
      </c>
      <c r="F58" s="1236">
        <v>351791.29005718598</v>
      </c>
    </row>
    <row r="59" spans="1:6">
      <c r="A59" s="1235" t="s">
        <v>48</v>
      </c>
      <c r="B59" s="1235" t="s">
        <v>51</v>
      </c>
      <c r="C59" s="1236">
        <v>50</v>
      </c>
      <c r="D59" s="1236">
        <v>2342936.8154049502</v>
      </c>
      <c r="E59" s="1236">
        <v>94</v>
      </c>
      <c r="F59" s="1236">
        <v>2184119.2021735199</v>
      </c>
    </row>
    <row r="60" spans="1:6">
      <c r="A60" s="1235" t="s">
        <v>48</v>
      </c>
      <c r="B60" s="1235" t="s">
        <v>52</v>
      </c>
      <c r="C60" s="1236">
        <v>39</v>
      </c>
      <c r="D60" s="1236">
        <v>2088213.6458473799</v>
      </c>
      <c r="E60" s="1236">
        <v>53</v>
      </c>
      <c r="F60" s="1236">
        <v>1450020.06992843</v>
      </c>
    </row>
    <row r="61" spans="1:6">
      <c r="A61" s="1235" t="s">
        <v>48</v>
      </c>
      <c r="B61" s="1235" t="s">
        <v>53</v>
      </c>
      <c r="C61" s="1236">
        <v>97</v>
      </c>
      <c r="D61" s="1236">
        <v>5675005.3335100496</v>
      </c>
      <c r="E61" s="1236">
        <v>154</v>
      </c>
      <c r="F61" s="1236">
        <v>2942655.7729659099</v>
      </c>
    </row>
    <row r="62" spans="1:6">
      <c r="A62" s="1235" t="s">
        <v>48</v>
      </c>
      <c r="B62" s="1235" t="s">
        <v>54</v>
      </c>
      <c r="C62" s="1236">
        <v>3</v>
      </c>
      <c r="D62" s="1236">
        <v>1296275.1875330301</v>
      </c>
      <c r="E62" s="1236">
        <v>3</v>
      </c>
      <c r="F62" s="1236">
        <v>121576.437705531</v>
      </c>
    </row>
    <row r="63" spans="1:6">
      <c r="A63" s="1235" t="s">
        <v>48</v>
      </c>
      <c r="B63" s="1235" t="s">
        <v>28</v>
      </c>
      <c r="C63" s="1236">
        <v>71</v>
      </c>
      <c r="D63" s="1236">
        <v>5718127.01734789</v>
      </c>
      <c r="E63" s="1236">
        <v>94</v>
      </c>
      <c r="F63" s="1236">
        <v>2496792.7487500398</v>
      </c>
    </row>
    <row r="64" spans="1:6">
      <c r="A64" s="1235" t="s">
        <v>55</v>
      </c>
      <c r="B64" s="1235" t="s">
        <v>56</v>
      </c>
      <c r="C64" s="1236">
        <v>0</v>
      </c>
      <c r="D64" s="1236">
        <v>0</v>
      </c>
      <c r="E64" s="1236">
        <v>0</v>
      </c>
      <c r="F64" s="1236">
        <v>0</v>
      </c>
    </row>
    <row r="65" spans="1:6">
      <c r="A65" s="1235" t="s">
        <v>55</v>
      </c>
      <c r="B65" s="1235" t="s">
        <v>28</v>
      </c>
      <c r="C65" s="1236">
        <v>1</v>
      </c>
      <c r="D65" s="1236">
        <v>29057.356231039801</v>
      </c>
      <c r="E65" s="1236">
        <v>2</v>
      </c>
      <c r="F65" s="1236">
        <v>15339.0671784244</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39973743</v>
      </c>
      <c r="E73" s="443"/>
      <c r="F73" s="324"/>
    </row>
    <row r="74" spans="1:6">
      <c r="A74" s="1235" t="s">
        <v>63</v>
      </c>
      <c r="B74" s="1235" t="s">
        <v>730</v>
      </c>
      <c r="C74" s="1248" t="s">
        <v>731</v>
      </c>
      <c r="D74" s="1236">
        <v>1898923.0436549233</v>
      </c>
      <c r="E74" s="443"/>
      <c r="F74" s="324"/>
    </row>
    <row r="75" spans="1:6">
      <c r="A75" s="1235" t="s">
        <v>64</v>
      </c>
      <c r="B75" s="1235" t="s">
        <v>728</v>
      </c>
      <c r="C75" s="1248" t="s">
        <v>732</v>
      </c>
      <c r="D75" s="1236">
        <v>15354531</v>
      </c>
      <c r="E75" s="443"/>
      <c r="F75" s="324"/>
    </row>
    <row r="76" spans="1:6">
      <c r="A76" s="1235" t="s">
        <v>64</v>
      </c>
      <c r="B76" s="1235" t="s">
        <v>730</v>
      </c>
      <c r="C76" s="1248" t="s">
        <v>733</v>
      </c>
      <c r="D76" s="1236">
        <v>16010</v>
      </c>
      <c r="E76" s="443"/>
      <c r="F76" s="324"/>
    </row>
    <row r="77" spans="1:6">
      <c r="A77" s="1235" t="s">
        <v>65</v>
      </c>
      <c r="B77" s="1235" t="s">
        <v>728</v>
      </c>
      <c r="C77" s="1248" t="s">
        <v>734</v>
      </c>
      <c r="D77" s="1236">
        <v>59000426</v>
      </c>
      <c r="E77" s="443"/>
      <c r="F77" s="324"/>
    </row>
    <row r="78" spans="1:6">
      <c r="A78" s="1230" t="s">
        <v>65</v>
      </c>
      <c r="B78" s="1230" t="s">
        <v>730</v>
      </c>
      <c r="C78" s="1230" t="s">
        <v>735</v>
      </c>
      <c r="D78" s="1238">
        <v>17391794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401631.91269015335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3799.2979160042782</v>
      </c>
      <c r="C90" s="324"/>
      <c r="D90" s="324"/>
      <c r="E90" s="324"/>
      <c r="F90" s="324"/>
    </row>
    <row r="91" spans="1:6">
      <c r="A91" s="1235" t="s">
        <v>67</v>
      </c>
      <c r="B91" s="1236">
        <v>1391.0648227968936</v>
      </c>
      <c r="C91" s="324"/>
      <c r="D91" s="324"/>
      <c r="E91" s="324"/>
      <c r="F91" s="324"/>
    </row>
    <row r="92" spans="1:6">
      <c r="A92" s="1230" t="s">
        <v>68</v>
      </c>
      <c r="B92" s="1231">
        <v>273.65016493444108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2401</v>
      </c>
      <c r="C97" s="324"/>
      <c r="D97" s="324"/>
      <c r="E97" s="324"/>
      <c r="F97" s="324"/>
    </row>
    <row r="98" spans="1:6">
      <c r="A98" s="1235" t="s">
        <v>71</v>
      </c>
      <c r="B98" s="1236">
        <v>5</v>
      </c>
      <c r="C98" s="324"/>
      <c r="D98" s="324"/>
      <c r="E98" s="324"/>
      <c r="F98" s="324"/>
    </row>
    <row r="99" spans="1:6">
      <c r="A99" s="1235" t="s">
        <v>72</v>
      </c>
      <c r="B99" s="1236">
        <v>47</v>
      </c>
      <c r="C99" s="324"/>
      <c r="D99" s="324"/>
      <c r="E99" s="324"/>
      <c r="F99" s="324"/>
    </row>
    <row r="100" spans="1:6">
      <c r="A100" s="1235" t="s">
        <v>73</v>
      </c>
      <c r="B100" s="1236">
        <v>151</v>
      </c>
      <c r="C100" s="324"/>
      <c r="D100" s="324"/>
      <c r="E100" s="324"/>
      <c r="F100" s="324"/>
    </row>
    <row r="101" spans="1:6">
      <c r="A101" s="1235" t="s">
        <v>74</v>
      </c>
      <c r="B101" s="1236">
        <v>98</v>
      </c>
      <c r="C101" s="324"/>
      <c r="D101" s="324"/>
      <c r="E101" s="324"/>
      <c r="F101" s="324"/>
    </row>
    <row r="102" spans="1:6">
      <c r="A102" s="1235" t="s">
        <v>75</v>
      </c>
      <c r="B102" s="1236">
        <v>50</v>
      </c>
      <c r="C102" s="324"/>
      <c r="D102" s="324"/>
      <c r="E102" s="324"/>
      <c r="F102" s="324"/>
    </row>
    <row r="103" spans="1:6">
      <c r="A103" s="1235" t="s">
        <v>76</v>
      </c>
      <c r="B103" s="1236">
        <v>89</v>
      </c>
      <c r="C103" s="324"/>
      <c r="D103" s="324"/>
      <c r="E103" s="324"/>
      <c r="F103" s="324"/>
    </row>
    <row r="104" spans="1:6">
      <c r="A104" s="1235" t="s">
        <v>77</v>
      </c>
      <c r="B104" s="1236">
        <v>1664</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53</v>
      </c>
      <c r="C129" s="324"/>
      <c r="D129" s="324"/>
      <c r="E129" s="324"/>
      <c r="F129" s="324"/>
    </row>
    <row r="130" spans="1:6">
      <c r="A130" s="1235" t="s">
        <v>284</v>
      </c>
      <c r="B130" s="1236">
        <v>1</v>
      </c>
      <c r="C130" s="324"/>
      <c r="D130" s="324"/>
      <c r="E130" s="324"/>
      <c r="F130" s="324"/>
    </row>
    <row r="131" spans="1:6">
      <c r="A131" s="1235" t="s">
        <v>285</v>
      </c>
      <c r="B131" s="1236">
        <v>2</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43944.068881251587</v>
      </c>
      <c r="C3" s="43" t="s">
        <v>163</v>
      </c>
      <c r="D3" s="43"/>
      <c r="E3" s="155"/>
      <c r="F3" s="43"/>
      <c r="G3" s="43"/>
      <c r="H3" s="43"/>
      <c r="I3" s="43"/>
      <c r="J3" s="43"/>
      <c r="K3" s="96"/>
    </row>
    <row r="4" spans="1:11">
      <c r="A4" s="350" t="s">
        <v>164</v>
      </c>
      <c r="B4" s="49">
        <f>IF(ISERROR('SEAP template'!B78+'SEAP template'!C78),0,'SEAP template'!B78+'SEAP template'!C78)</f>
        <v>17524.012903735613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2866.0235294117656</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0.19808943782528654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4094.3193277310938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17228.571428571428</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0.23764705882352952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678.28700000000003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678.28700000000003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0.19808943782528654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134.36149051420014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23370.766607061199</v>
      </c>
      <c r="C5" s="17">
        <f>IF(ISERROR('Eigen informatie GS &amp; warmtenet'!B57),0,'Eigen informatie GS &amp; warmtenet'!B57)</f>
        <v>0</v>
      </c>
      <c r="D5" s="30">
        <f>(SUM(HH_hh_gas_kWh,HH_rest_gas_kWh)/1000)*0.902</f>
        <v>69392.7423980038</v>
      </c>
      <c r="E5" s="17">
        <f>B32*B41</f>
        <v>832.65267871151866</v>
      </c>
      <c r="F5" s="17">
        <f>B36*B45</f>
        <v>28422.095967079724</v>
      </c>
      <c r="G5" s="18"/>
      <c r="H5" s="17"/>
      <c r="I5" s="17"/>
      <c r="J5" s="17">
        <f>B35*B44+C35*C44</f>
        <v>639.99354300301661</v>
      </c>
      <c r="K5" s="17"/>
      <c r="L5" s="17"/>
      <c r="M5" s="17"/>
      <c r="N5" s="17">
        <f>B34*B43+C34*C43</f>
        <v>5934.7503458507163</v>
      </c>
      <c r="O5" s="17">
        <f>B52*B53*B54</f>
        <v>84.42</v>
      </c>
      <c r="P5" s="17">
        <f>B60*B61*B62/1000-B60*B61*B62/1000/B63</f>
        <v>266.93333333333334</v>
      </c>
    </row>
    <row r="6" spans="1:16">
      <c r="A6" s="16" t="s">
        <v>591</v>
      </c>
      <c r="B6" s="727">
        <f>kWh_PV_kleiner_dan_10kW</f>
        <v>1391.0648227968936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24761.831429858092</v>
      </c>
      <c r="C8" s="21">
        <f>C5</f>
        <v>0</v>
      </c>
      <c r="D8" s="21">
        <f>D5</f>
        <v>69392.7423980038</v>
      </c>
      <c r="E8" s="21">
        <f>E5</f>
        <v>832.65267871151866</v>
      </c>
      <c r="F8" s="21">
        <f>F5</f>
        <v>28422.095967079724</v>
      </c>
      <c r="G8" s="21"/>
      <c r="H8" s="21"/>
      <c r="I8" s="21"/>
      <c r="J8" s="21">
        <f>J5</f>
        <v>639.99354300301661</v>
      </c>
      <c r="K8" s="21"/>
      <c r="L8" s="21">
        <f>L5</f>
        <v>0</v>
      </c>
      <c r="M8" s="21">
        <f>M5</f>
        <v>0</v>
      </c>
      <c r="N8" s="21">
        <f>N5</f>
        <v>5934.7503458507163</v>
      </c>
      <c r="O8" s="21">
        <f>O5</f>
        <v>84.42</v>
      </c>
      <c r="P8" s="21">
        <f>P5</f>
        <v>266.93333333333334</v>
      </c>
    </row>
    <row r="9" spans="1:16">
      <c r="B9" s="19"/>
      <c r="C9" s="19"/>
      <c r="D9" s="255"/>
      <c r="E9" s="19"/>
      <c r="F9" s="19"/>
      <c r="G9" s="19"/>
      <c r="H9" s="19"/>
      <c r="I9" s="19"/>
      <c r="J9" s="19"/>
      <c r="K9" s="19"/>
      <c r="L9" s="19"/>
      <c r="M9" s="19"/>
      <c r="N9" s="19"/>
      <c r="O9" s="19"/>
      <c r="P9" s="19"/>
    </row>
    <row r="10" spans="1:16">
      <c r="A10" s="24" t="s">
        <v>207</v>
      </c>
      <c r="B10" s="25">
        <f ca="1">'EF ele_warmte'!B12</f>
        <v>0.19808943782528654</v>
      </c>
      <c r="C10" s="25">
        <f ca="1">'EF ele_warmte'!B22</f>
        <v>0.23764705882352952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4905.0572674651003</v>
      </c>
      <c r="C12" s="23">
        <f ca="1">C10*C8</f>
        <v>0</v>
      </c>
      <c r="D12" s="23">
        <f>D8*D10</f>
        <v>14017.333964396768</v>
      </c>
      <c r="E12" s="23">
        <f>E10*E8</f>
        <v>189.01215806751475</v>
      </c>
      <c r="F12" s="23">
        <f>F10*F8</f>
        <v>7588.6996232102865</v>
      </c>
      <c r="G12" s="23"/>
      <c r="H12" s="23"/>
      <c r="I12" s="23"/>
      <c r="J12" s="23">
        <f>J10*J8</f>
        <v>226.55771422306788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5027</v>
      </c>
      <c r="C26" s="36"/>
      <c r="D26" s="225"/>
    </row>
    <row r="27" spans="1:5" s="15" customFormat="1">
      <c r="A27" s="227" t="s">
        <v>671</v>
      </c>
      <c r="B27" s="37">
        <f>SUM(HH_hh_gas_aantal,HH_rest_gas_aantal)</f>
        <v>3461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3287.95</v>
      </c>
      <c r="C31" s="34" t="s">
        <v>104</v>
      </c>
      <c r="D31" s="171"/>
    </row>
    <row r="32" spans="1:5">
      <c r="A32" s="168" t="s">
        <v>72</v>
      </c>
      <c r="B32" s="33">
        <f>IF((B21*($B$26-($B$27-0.05*$B$27)-$B$60))&lt;0,0,B21*($B$26-($B$27-0.05*$B$27)-$B$60))</f>
        <v>12.229860401955882</v>
      </c>
      <c r="C32" s="34" t="s">
        <v>104</v>
      </c>
      <c r="D32" s="171"/>
    </row>
    <row r="33" spans="1:6">
      <c r="A33" s="168" t="s">
        <v>73</v>
      </c>
      <c r="B33" s="33">
        <f>IF((B22*($B$26-($B$27-0.05*$B$27)-$B$60))&lt;0,0,B22*($B$26-($B$27-0.05*$B$27)-$B$60))</f>
        <v>350.50613519347036</v>
      </c>
      <c r="C33" s="34" t="s">
        <v>104</v>
      </c>
      <c r="D33" s="171"/>
    </row>
    <row r="34" spans="1:6">
      <c r="A34" s="168" t="s">
        <v>74</v>
      </c>
      <c r="B34" s="33">
        <f>IF((B24*($B$26-($B$27-0.05*$B$27)-$B$60))&lt;0,0,B24*($B$26-($B$27-0.05*$B$27)-$B$60))</f>
        <v>69.894627618262646</v>
      </c>
      <c r="C34" s="33">
        <f>B26*C24</f>
        <v>1027.9089692477062</v>
      </c>
      <c r="D34" s="230"/>
    </row>
    <row r="35" spans="1:6">
      <c r="A35" s="168" t="s">
        <v>76</v>
      </c>
      <c r="B35" s="33">
        <f>IF((B19*($B$26-($B$27-0.05*$B$27)-$B$60))&lt;0,0,B19*($B$26-($B$27-0.05*$B$27)-$B$60))</f>
        <v>36.398394053440136</v>
      </c>
      <c r="C35" s="33">
        <f>B35/2</f>
        <v>18.199197026720068</v>
      </c>
      <c r="D35" s="230"/>
    </row>
    <row r="36" spans="1:6">
      <c r="A36" s="168" t="s">
        <v>77</v>
      </c>
      <c r="B36" s="33">
        <f>IF((B18*($B$26-($B$27-0.05*$B$27)-$B$60))&lt;0,0,B18*($B$26-($B$27-0.05*$B$27)-$B$60))</f>
        <v>1256.0209827328711</v>
      </c>
      <c r="C36" s="34" t="s">
        <v>104</v>
      </c>
      <c r="D36" s="171"/>
    </row>
    <row r="37" spans="1:6">
      <c r="A37" s="168" t="s">
        <v>78</v>
      </c>
      <c r="B37" s="33">
        <f>B60</f>
        <v>14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12749.975831509777</v>
      </c>
      <c r="C5" s="17">
        <f>IF(ISERROR('Eigen informatie GS &amp; warmtenet'!B58),0,'Eigen informatie GS &amp; warmtenet'!B58)</f>
        <v>0</v>
      </c>
      <c r="D5" s="30">
        <f>SUM(D6:D12)</f>
        <v>16652.463823892329</v>
      </c>
      <c r="E5" s="17">
        <f>SUM(E6:E12)</f>
        <v>265.58157490963333</v>
      </c>
      <c r="F5" s="17">
        <f>SUM(F6:F12)</f>
        <v>2587.6024157293705</v>
      </c>
      <c r="G5" s="18"/>
      <c r="H5" s="17"/>
      <c r="I5" s="17"/>
      <c r="J5" s="17">
        <f>SUM(J6:J12)</f>
        <v>0</v>
      </c>
      <c r="K5" s="17"/>
      <c r="L5" s="17"/>
      <c r="M5" s="17"/>
      <c r="N5" s="17">
        <f>SUM(N6:N12)</f>
        <v>789.43662769738501</v>
      </c>
      <c r="O5" s="17">
        <f>B38*B39*B40</f>
        <v>1.5633333333333335</v>
      </c>
      <c r="P5" s="17">
        <f>B46*B47*B48/1000-B46*B47*B48/1000/B49</f>
        <v>38.133333333333333</v>
      </c>
      <c r="R5" s="32"/>
    </row>
    <row r="6" spans="1:18">
      <c r="A6" s="32" t="s">
        <v>53</v>
      </c>
      <c r="B6" s="37">
        <f>B26</f>
        <v>2942.6557729659098</v>
      </c>
      <c r="C6" s="33"/>
      <c r="D6" s="37">
        <f>IF(ISERROR(TER_kantoor_gas_kWh/1000),0,TER_kantoor_gas_kWh/1000)*0.902</f>
        <v>5118.8548108260647</v>
      </c>
      <c r="E6" s="33">
        <f>$C$26*'E Balans VL '!I12/100/3.6*1000000</f>
        <v>101.79238071661065</v>
      </c>
      <c r="F6" s="33">
        <f>$C$26*('E Balans VL '!L12+'E Balans VL '!N12)/100/3.6*1000000</f>
        <v>449.22765021465551</v>
      </c>
      <c r="G6" s="34"/>
      <c r="H6" s="33"/>
      <c r="I6" s="33"/>
      <c r="J6" s="33">
        <f>$C$26*('E Balans VL '!D12+'E Balans VL '!E12)/100/3.6*1000000</f>
        <v>0</v>
      </c>
      <c r="K6" s="33"/>
      <c r="L6" s="33"/>
      <c r="M6" s="33"/>
      <c r="N6" s="33">
        <f>$C$26*'E Balans VL '!Y12/100/3.6*1000000</f>
        <v>45.362437581551248</v>
      </c>
      <c r="O6" s="33"/>
      <c r="P6" s="33"/>
      <c r="R6" s="32"/>
    </row>
    <row r="7" spans="1:18">
      <c r="A7" s="32" t="s">
        <v>52</v>
      </c>
      <c r="B7" s="37">
        <f t="shared" ref="B7:B12" si="0">B27</f>
        <v>1450.0200699284301</v>
      </c>
      <c r="C7" s="33"/>
      <c r="D7" s="37">
        <f>IF(ISERROR(TER_horeca_gas_kWh/1000),0,TER_horeca_gas_kWh/1000)*0.902</f>
        <v>1883.5687085543368</v>
      </c>
      <c r="E7" s="33">
        <f>$C$27*'E Balans VL '!I9/100/3.6*1000000</f>
        <v>79.465707463804733</v>
      </c>
      <c r="F7" s="33">
        <f>$C$27*('E Balans VL '!L9+'E Balans VL '!N9)/100/3.6*1000000</f>
        <v>245.39189878488466</v>
      </c>
      <c r="G7" s="34"/>
      <c r="H7" s="33"/>
      <c r="I7" s="33"/>
      <c r="J7" s="33">
        <f>$C$27*('E Balans VL '!D9+'E Balans VL '!E9)/100/3.6*1000000</f>
        <v>0</v>
      </c>
      <c r="K7" s="33"/>
      <c r="L7" s="33"/>
      <c r="M7" s="33"/>
      <c r="N7" s="33">
        <f>$C$27*'E Balans VL '!Y9/100/3.6*1000000</f>
        <v>0</v>
      </c>
      <c r="O7" s="33"/>
      <c r="P7" s="33"/>
      <c r="R7" s="32"/>
    </row>
    <row r="8" spans="1:18">
      <c r="A8" s="6" t="s">
        <v>51</v>
      </c>
      <c r="B8" s="37">
        <f t="shared" si="0"/>
        <v>2184.1192021735201</v>
      </c>
      <c r="C8" s="33"/>
      <c r="D8" s="37">
        <f>IF(ISERROR(TER_handel_gas_kWh/1000),0,TER_handel_gas_kWh/1000)*0.902</f>
        <v>2113.3290074952652</v>
      </c>
      <c r="E8" s="33">
        <f>$C$28*'E Balans VL '!I13/100/3.6*1000000</f>
        <v>11.049831980935764</v>
      </c>
      <c r="F8" s="33">
        <f>$C$28*('E Balans VL '!L13+'E Balans VL '!N13)/100/3.6*1000000</f>
        <v>331.85983029036231</v>
      </c>
      <c r="G8" s="34"/>
      <c r="H8" s="33"/>
      <c r="I8" s="33"/>
      <c r="J8" s="33">
        <f>$C$28*('E Balans VL '!D13+'E Balans VL '!E13)/100/3.6*1000000</f>
        <v>0</v>
      </c>
      <c r="K8" s="33"/>
      <c r="L8" s="33"/>
      <c r="M8" s="33"/>
      <c r="N8" s="33">
        <f>$C$28*'E Balans VL '!Y13/100/3.6*1000000</f>
        <v>1.0213526062396889</v>
      </c>
      <c r="O8" s="33"/>
      <c r="P8" s="33"/>
      <c r="R8" s="32"/>
    </row>
    <row r="9" spans="1:18">
      <c r="A9" s="32" t="s">
        <v>50</v>
      </c>
      <c r="B9" s="37">
        <f t="shared" si="0"/>
        <v>351.79129005718596</v>
      </c>
      <c r="C9" s="33"/>
      <c r="D9" s="37">
        <f>IF(ISERROR(TER_gezond_gas_kWh/1000),0,TER_gezond_gas_kWh/1000)*0.902</f>
        <v>976.3730770700231</v>
      </c>
      <c r="E9" s="33">
        <f>$C$29*'E Balans VL '!I10/100/3.6*1000000</f>
        <v>0.12792737559238535</v>
      </c>
      <c r="F9" s="33">
        <f>$C$29*('E Balans VL '!L10+'E Balans VL '!N10)/100/3.6*1000000</f>
        <v>76.012591622137734</v>
      </c>
      <c r="G9" s="34"/>
      <c r="H9" s="33"/>
      <c r="I9" s="33"/>
      <c r="J9" s="33">
        <f>$C$29*('E Balans VL '!D10+'E Balans VL '!E10)/100/3.6*1000000</f>
        <v>0</v>
      </c>
      <c r="K9" s="33"/>
      <c r="L9" s="33"/>
      <c r="M9" s="33"/>
      <c r="N9" s="33">
        <f>$C$29*'E Balans VL '!Y10/100/3.6*1000000</f>
        <v>2.6673779439413479</v>
      </c>
      <c r="O9" s="33"/>
      <c r="P9" s="33"/>
      <c r="R9" s="32"/>
    </row>
    <row r="10" spans="1:18">
      <c r="A10" s="32" t="s">
        <v>49</v>
      </c>
      <c r="B10" s="37">
        <f t="shared" si="0"/>
        <v>3203.0203099291598</v>
      </c>
      <c r="C10" s="33"/>
      <c r="D10" s="37">
        <f>IF(ISERROR(TER_ander_gas_kWh/1000),0,TER_ander_gas_kWh/1000)*0.902</f>
        <v>233.34743114404944</v>
      </c>
      <c r="E10" s="33">
        <f>$C$30*'E Balans VL '!I14/100/3.6*1000000</f>
        <v>19.498862493272469</v>
      </c>
      <c r="F10" s="33">
        <f>$C$30*('E Balans VL '!L14+'E Balans VL '!N14)/100/3.6*1000000</f>
        <v>847.99779188777211</v>
      </c>
      <c r="G10" s="34"/>
      <c r="H10" s="33"/>
      <c r="I10" s="33"/>
      <c r="J10" s="33">
        <f>$C$30*('E Balans VL '!D14+'E Balans VL '!E14)/100/3.6*1000000</f>
        <v>0</v>
      </c>
      <c r="K10" s="33"/>
      <c r="L10" s="33"/>
      <c r="M10" s="33"/>
      <c r="N10" s="33">
        <f>$C$30*'E Balans VL '!Y14/100/3.6*1000000</f>
        <v>667.10606426648849</v>
      </c>
      <c r="O10" s="33"/>
      <c r="P10" s="33"/>
      <c r="R10" s="32"/>
    </row>
    <row r="11" spans="1:18">
      <c r="A11" s="32" t="s">
        <v>54</v>
      </c>
      <c r="B11" s="37">
        <f t="shared" si="0"/>
        <v>121.57643770553101</v>
      </c>
      <c r="C11" s="33"/>
      <c r="D11" s="37">
        <f>IF(ISERROR(TER_onderwijs_gas_kWh/1000),0,TER_onderwijs_gas_kWh/1000)*0.902</f>
        <v>1169.2402191547931</v>
      </c>
      <c r="E11" s="33">
        <f>$C$31*'E Balans VL '!I11/100/3.6*1000000</f>
        <v>0.1508868852768841</v>
      </c>
      <c r="F11" s="33">
        <f>$C$31*('E Balans VL '!L11+'E Balans VL '!N11)/100/3.6*1000000</f>
        <v>143.28419717159227</v>
      </c>
      <c r="G11" s="34"/>
      <c r="H11" s="33"/>
      <c r="I11" s="33"/>
      <c r="J11" s="33">
        <f>$C$31*('E Balans VL '!D11+'E Balans VL '!E11)/100/3.6*1000000</f>
        <v>0</v>
      </c>
      <c r="K11" s="33"/>
      <c r="L11" s="33"/>
      <c r="M11" s="33"/>
      <c r="N11" s="33">
        <f>$C$31*'E Balans VL '!Y11/100/3.6*1000000</f>
        <v>0.58355554614324734</v>
      </c>
      <c r="O11" s="33"/>
      <c r="P11" s="33"/>
      <c r="R11" s="32"/>
    </row>
    <row r="12" spans="1:18">
      <c r="A12" s="32" t="s">
        <v>249</v>
      </c>
      <c r="B12" s="37">
        <f t="shared" si="0"/>
        <v>2496.7927487500397</v>
      </c>
      <c r="C12" s="33"/>
      <c r="D12" s="37">
        <f>IF(ISERROR(TER_rest_gas_kWh/1000),0,TER_rest_gas_kWh/1000)*0.902</f>
        <v>5157.7505696477965</v>
      </c>
      <c r="E12" s="33">
        <f>$C$32*'E Balans VL '!I8/100/3.6*1000000</f>
        <v>53.495977994140468</v>
      </c>
      <c r="F12" s="33">
        <f>$C$32*('E Balans VL '!L8+'E Balans VL '!N8)/100/3.6*1000000</f>
        <v>493.82845575796597</v>
      </c>
      <c r="G12" s="34"/>
      <c r="H12" s="33"/>
      <c r="I12" s="33"/>
      <c r="J12" s="33">
        <f>$C$32*('E Balans VL '!D8+'E Balans VL '!E8)/100/3.6*1000000</f>
        <v>0</v>
      </c>
      <c r="K12" s="33"/>
      <c r="L12" s="33"/>
      <c r="M12" s="33"/>
      <c r="N12" s="33">
        <f>$C$32*'E Balans VL '!Y8/100/3.6*1000000</f>
        <v>72.695839753021048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12749.975831509777</v>
      </c>
      <c r="C16" s="21">
        <f ca="1">C5+C13+C14</f>
        <v>0</v>
      </c>
      <c r="D16" s="21">
        <f t="shared" ref="D16:N16" ca="1" si="1">MAX((D5+D13+D14),0)</f>
        <v>16652.463823892329</v>
      </c>
      <c r="E16" s="21">
        <f t="shared" si="1"/>
        <v>265.58157490963333</v>
      </c>
      <c r="F16" s="21">
        <f t="shared" ca="1" si="1"/>
        <v>2587.6024157293705</v>
      </c>
      <c r="G16" s="21">
        <f t="shared" si="1"/>
        <v>0</v>
      </c>
      <c r="H16" s="21">
        <f t="shared" si="1"/>
        <v>0</v>
      </c>
      <c r="I16" s="21">
        <f t="shared" si="1"/>
        <v>0</v>
      </c>
      <c r="J16" s="21">
        <f t="shared" si="1"/>
        <v>0</v>
      </c>
      <c r="K16" s="21">
        <f t="shared" si="1"/>
        <v>0</v>
      </c>
      <c r="L16" s="21">
        <f t="shared" ca="1" si="1"/>
        <v>0</v>
      </c>
      <c r="M16" s="21">
        <f t="shared" si="1"/>
        <v>0</v>
      </c>
      <c r="N16" s="21">
        <f t="shared" ca="1" si="1"/>
        <v>789.43662769738501</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0.19808943782528654</v>
      </c>
      <c r="C18" s="25">
        <f ca="1">'EF ele_warmte'!B22</f>
        <v>0.23764705882352952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2525.6355447497622</v>
      </c>
      <c r="C20" s="23">
        <f t="shared" ref="C20:P20" ca="1" si="2">C16*C18</f>
        <v>0</v>
      </c>
      <c r="D20" s="23">
        <f t="shared" ca="1" si="2"/>
        <v>3363.7976924262507</v>
      </c>
      <c r="E20" s="23">
        <f t="shared" si="2"/>
        <v>60.287017504486769</v>
      </c>
      <c r="F20" s="23">
        <f t="shared" ca="1" si="2"/>
        <v>690.88984499974197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2942.6557729659098</v>
      </c>
      <c r="C26" s="39">
        <f>IF(ISERROR(B26*3.6/1000000/'E Balans VL '!Z12*100),0,B26*3.6/1000000/'E Balans VL '!Z12*100)</f>
        <v>6.1194603375978873E-2</v>
      </c>
      <c r="D26" s="233" t="s">
        <v>676</v>
      </c>
      <c r="F26" s="6"/>
    </row>
    <row r="27" spans="1:18">
      <c r="A27" s="228" t="s">
        <v>52</v>
      </c>
      <c r="B27" s="33">
        <f>IF(ISERROR(TER_horeca_ele_kWh/1000),0,TER_horeca_ele_kWh/1000)</f>
        <v>1450.0200699284301</v>
      </c>
      <c r="C27" s="39">
        <f>IF(ISERROR(B27*3.6/1000000/'E Balans VL '!Z9*100),0,B27*3.6/1000000/'E Balans VL '!Z9*100)</f>
        <v>0.11926517975820805</v>
      </c>
      <c r="D27" s="233" t="s">
        <v>676</v>
      </c>
      <c r="F27" s="6"/>
    </row>
    <row r="28" spans="1:18">
      <c r="A28" s="168" t="s">
        <v>51</v>
      </c>
      <c r="B28" s="33">
        <f>IF(ISERROR(TER_handel_ele_kWh/1000),0,TER_handel_ele_kWh/1000)</f>
        <v>2184.1192021735201</v>
      </c>
      <c r="C28" s="39">
        <f>IF(ISERROR(B28*3.6/1000000/'E Balans VL '!Z13*100),0,B28*3.6/1000000/'E Balans VL '!Z13*100)</f>
        <v>6.0455992532307865E-2</v>
      </c>
      <c r="D28" s="233" t="s">
        <v>676</v>
      </c>
      <c r="F28" s="6"/>
    </row>
    <row r="29" spans="1:18">
      <c r="A29" s="228" t="s">
        <v>50</v>
      </c>
      <c r="B29" s="33">
        <f>IF(ISERROR(TER_gezond_ele_kWh/1000),0,TER_gezond_ele_kWh/1000)</f>
        <v>351.79129005718596</v>
      </c>
      <c r="C29" s="39">
        <f>IF(ISERROR(B29*3.6/1000000/'E Balans VL '!Z10*100),0,B29*3.6/1000000/'E Balans VL '!Z10*100)</f>
        <v>4.0119243198333814E-2</v>
      </c>
      <c r="D29" s="233" t="s">
        <v>676</v>
      </c>
      <c r="F29" s="6"/>
    </row>
    <row r="30" spans="1:18">
      <c r="A30" s="228" t="s">
        <v>49</v>
      </c>
      <c r="B30" s="33">
        <f>IF(ISERROR(TER_ander_ele_kWh/1000),0,TER_ander_ele_kWh/1000)</f>
        <v>3203.0203099291598</v>
      </c>
      <c r="C30" s="39">
        <f>IF(ISERROR(B30*3.6/1000000/'E Balans VL '!Z14*100),0,B30*3.6/1000000/'E Balans VL '!Z14*100)</f>
        <v>0.24792246026317644</v>
      </c>
      <c r="D30" s="233" t="s">
        <v>676</v>
      </c>
      <c r="F30" s="6"/>
    </row>
    <row r="31" spans="1:18">
      <c r="A31" s="228" t="s">
        <v>54</v>
      </c>
      <c r="B31" s="33">
        <f>IF(ISERROR(TER_onderwijs_ele_kWh/1000),0,TER_onderwijs_ele_kWh/1000)</f>
        <v>121.57643770553101</v>
      </c>
      <c r="C31" s="39">
        <f>IF(ISERROR(B31*3.6/1000000/'E Balans VL '!Z11*100),0,B31*3.6/1000000/'E Balans VL '!Z11*100)</f>
        <v>3.7880918282586648E-2</v>
      </c>
      <c r="D31" s="233" t="s">
        <v>676</v>
      </c>
    </row>
    <row r="32" spans="1:18">
      <c r="A32" s="228" t="s">
        <v>249</v>
      </c>
      <c r="B32" s="33">
        <f>IF(ISERROR(TER_rest_ele_kWh/1000),0,TER_rest_ele_kWh/1000)</f>
        <v>2496.7927487500397</v>
      </c>
      <c r="C32" s="39">
        <f>IF(ISERROR(B32*3.6/1000000/'E Balans VL '!Z8*100),0,B32*3.6/1000000/'E Balans VL '!Z8*100)</f>
        <v>2.0588752001417795E-2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1950.1542575366493</v>
      </c>
      <c r="C5" s="17">
        <f>IF(ISERROR('Eigen informatie GS &amp; warmtenet'!B59),0,'Eigen informatie GS &amp; warmtenet'!B59)</f>
        <v>0</v>
      </c>
      <c r="D5" s="30">
        <f>SUM(D6:D15)</f>
        <v>2007.4857485151422</v>
      </c>
      <c r="E5" s="17">
        <f>SUM(E6:E15)</f>
        <v>22.902575564588904</v>
      </c>
      <c r="F5" s="17">
        <f>SUM(F6:F15)</f>
        <v>771.05694466657951</v>
      </c>
      <c r="G5" s="18"/>
      <c r="H5" s="17"/>
      <c r="I5" s="17"/>
      <c r="J5" s="17">
        <f>SUM(J6:J15)</f>
        <v>7.9483659434144922</v>
      </c>
      <c r="K5" s="17"/>
      <c r="L5" s="17"/>
      <c r="M5" s="17"/>
      <c r="N5" s="17">
        <f>SUM(N6:N15)</f>
        <v>71.859181796430448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24.727240129893101</v>
      </c>
      <c r="C8" s="33"/>
      <c r="D8" s="37">
        <f>IF( ISERROR(IND_metaal_Gas_kWH/1000),0,IND_metaal_Gas_kWH/1000)*0.902</f>
        <v>0</v>
      </c>
      <c r="E8" s="33">
        <f>C30*'E Balans VL '!I18/100/3.6*1000000</f>
        <v>0.17375286057470146</v>
      </c>
      <c r="F8" s="33">
        <f>C30*'E Balans VL '!L18/100/3.6*1000000+C30*'E Balans VL '!N18/100/3.6*1000000</f>
        <v>2.7149062976679845</v>
      </c>
      <c r="G8" s="34"/>
      <c r="H8" s="33"/>
      <c r="I8" s="33"/>
      <c r="J8" s="40">
        <f>C30*'E Balans VL '!D18/100/3.6*1000000+C30*'E Balans VL '!E18/100/3.6*1000000</f>
        <v>0.51017626076962497</v>
      </c>
      <c r="K8" s="33"/>
      <c r="L8" s="33"/>
      <c r="M8" s="33"/>
      <c r="N8" s="33">
        <f>C30*'E Balans VL '!Y18/100/3.6*1000000</f>
        <v>9.2679476860763305E-2</v>
      </c>
      <c r="O8" s="33"/>
      <c r="P8" s="33"/>
      <c r="R8" s="32"/>
    </row>
    <row r="9" spans="1:18">
      <c r="A9" s="6" t="s">
        <v>32</v>
      </c>
      <c r="B9" s="37">
        <f t="shared" si="0"/>
        <v>683.93189019810006</v>
      </c>
      <c r="C9" s="33"/>
      <c r="D9" s="37">
        <f>IF( ISERROR(IND_andere_gas_kWh/1000),0,IND_andere_gas_kWh/1000)*0.902</f>
        <v>753.31577395100476</v>
      </c>
      <c r="E9" s="33">
        <f>C31*'E Balans VL '!I19/100/3.6*1000000</f>
        <v>11.487473939193432</v>
      </c>
      <c r="F9" s="33">
        <f>C31*'E Balans VL '!L19/100/3.6*1000000+C31*'E Balans VL '!N19/100/3.6*1000000</f>
        <v>534.65899790499873</v>
      </c>
      <c r="G9" s="34"/>
      <c r="H9" s="33"/>
      <c r="I9" s="33"/>
      <c r="J9" s="40">
        <f>C31*'E Balans VL '!D19/100/3.6*1000000+C31*'E Balans VL '!E19/100/3.6*1000000</f>
        <v>6.1684619165819084E-2</v>
      </c>
      <c r="K9" s="33"/>
      <c r="L9" s="33"/>
      <c r="M9" s="33"/>
      <c r="N9" s="33">
        <f>C31*'E Balans VL '!Y19/100/3.6*1000000</f>
        <v>50.690325784849044</v>
      </c>
      <c r="O9" s="33"/>
      <c r="P9" s="33"/>
      <c r="R9" s="32"/>
    </row>
    <row r="10" spans="1:18">
      <c r="A10" s="6" t="s">
        <v>40</v>
      </c>
      <c r="B10" s="37">
        <f t="shared" si="0"/>
        <v>375.92082934180502</v>
      </c>
      <c r="C10" s="33"/>
      <c r="D10" s="37">
        <f>IF( ISERROR(IND_voed_gas_kWh/1000),0,IND_voed_gas_kWh/1000)*0.902</f>
        <v>523.46481058933136</v>
      </c>
      <c r="E10" s="33">
        <f>C32*'E Balans VL '!I20/100/3.6*1000000</f>
        <v>3.4297454330215063</v>
      </c>
      <c r="F10" s="33">
        <f>C32*'E Balans VL '!L20/100/3.6*1000000+C32*'E Balans VL '!N20/100/3.6*1000000</f>
        <v>60.647787888266087</v>
      </c>
      <c r="G10" s="34"/>
      <c r="H10" s="33"/>
      <c r="I10" s="33"/>
      <c r="J10" s="40">
        <f>C32*'E Balans VL '!D20/100/3.6*1000000+C32*'E Balans VL '!E20/100/3.6*1000000</f>
        <v>1.548288440855458</v>
      </c>
      <c r="K10" s="33"/>
      <c r="L10" s="33"/>
      <c r="M10" s="33"/>
      <c r="N10" s="33">
        <f>C32*'E Balans VL '!Y20/100/3.6*1000000</f>
        <v>5.4994253113772729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865.574297866851</v>
      </c>
      <c r="C15" s="33"/>
      <c r="D15" s="37">
        <f>IF( ISERROR(IND_rest_gas_kWh/1000),0,IND_rest_gas_kWh/1000)*0.902</f>
        <v>730.70516397480606</v>
      </c>
      <c r="E15" s="33">
        <f>C37*'E Balans VL '!I15/100/3.6*1000000</f>
        <v>7.8116033317992644</v>
      </c>
      <c r="F15" s="33">
        <f>C37*'E Balans VL '!L15/100/3.6*1000000+C37*'E Balans VL '!N15/100/3.6*1000000</f>
        <v>173.03525257564678</v>
      </c>
      <c r="G15" s="34"/>
      <c r="H15" s="33"/>
      <c r="I15" s="33"/>
      <c r="J15" s="40">
        <f>C37*'E Balans VL '!D15/100/3.6*1000000+C37*'E Balans VL '!E15/100/3.6*1000000</f>
        <v>5.8282166226235903</v>
      </c>
      <c r="K15" s="33"/>
      <c r="L15" s="33"/>
      <c r="M15" s="33"/>
      <c r="N15" s="33">
        <f>C37*'E Balans VL '!Y15/100/3.6*1000000</f>
        <v>15.57675122334336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1950.1542575366493</v>
      </c>
      <c r="C18" s="21">
        <f>C5+C16</f>
        <v>0</v>
      </c>
      <c r="D18" s="21">
        <f>MAX((D5+D16),0)</f>
        <v>2007.4857485151422</v>
      </c>
      <c r="E18" s="21">
        <f>MAX((E5+E16),0)</f>
        <v>22.902575564588904</v>
      </c>
      <c r="F18" s="21">
        <f>MAX((F5+F16),0)</f>
        <v>771.05694466657951</v>
      </c>
      <c r="G18" s="21"/>
      <c r="H18" s="21"/>
      <c r="I18" s="21"/>
      <c r="J18" s="21">
        <f>MAX((J5+J16),0)</f>
        <v>7.9483659434144922</v>
      </c>
      <c r="K18" s="21"/>
      <c r="L18" s="21">
        <f>MAX((L5+L16),0)</f>
        <v>0</v>
      </c>
      <c r="M18" s="21"/>
      <c r="N18" s="21">
        <f>MAX((N5+N16),0)</f>
        <v>71.859181796430448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0.19808943782528654</v>
      </c>
      <c r="C20" s="25">
        <f ca="1">'EF ele_warmte'!B22</f>
        <v>0.23764705882352952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386.30496054802393</v>
      </c>
      <c r="C22" s="23">
        <f ca="1">C18*C20</f>
        <v>0</v>
      </c>
      <c r="D22" s="23">
        <f>D18*D20</f>
        <v>405.51212120005874</v>
      </c>
      <c r="E22" s="23">
        <f>E18*E20</f>
        <v>5.1988846531616817</v>
      </c>
      <c r="F22" s="23">
        <f>F18*F20</f>
        <v>205.87220422597673</v>
      </c>
      <c r="G22" s="23"/>
      <c r="H22" s="23"/>
      <c r="I22" s="23"/>
      <c r="J22" s="23">
        <f>J18*J20</f>
        <v>2.8137215439687302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24.727240129893101</v>
      </c>
      <c r="C30" s="39">
        <f>IF(ISERROR(B30*3.6/1000000/'E Balans VL '!Z18*100),0,B30*3.6/1000000/'E Balans VL '!Z18*100)</f>
        <v>1.6461074751651366E-3</v>
      </c>
      <c r="D30" s="233" t="s">
        <v>676</v>
      </c>
    </row>
    <row r="31" spans="1:18">
      <c r="A31" s="6" t="s">
        <v>32</v>
      </c>
      <c r="B31" s="37">
        <f>IF( ISERROR(IND_ander_ele_kWh/1000),0,IND_ander_ele_kWh/1000)</f>
        <v>683.93189019810006</v>
      </c>
      <c r="C31" s="39">
        <f>IF(ISERROR(B31*3.6/1000000/'E Balans VL '!Z19*100),0,B31*3.6/1000000/'E Balans VL '!Z19*100)</f>
        <v>3.0315990306750678E-2</v>
      </c>
      <c r="D31" s="233" t="s">
        <v>676</v>
      </c>
    </row>
    <row r="32" spans="1:18">
      <c r="A32" s="168" t="s">
        <v>40</v>
      </c>
      <c r="B32" s="37">
        <f>IF( ISERROR(IND_voed_ele_kWh/1000),0,IND_voed_ele_kWh/1000)</f>
        <v>375.92082934180502</v>
      </c>
      <c r="C32" s="39">
        <f>IF(ISERROR(B32*3.6/1000000/'E Balans VL '!Z20*100),0,B32*3.6/1000000/'E Balans VL '!Z20*100)</f>
        <v>1.2556834077306371E-2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865.574297866851</v>
      </c>
      <c r="C37" s="39">
        <f>IF(ISERROR(B37*3.6/1000000/'E Balans VL '!Z15*100),0,B37*3.6/1000000/'E Balans VL '!Z15*100)</f>
        <v>6.4384626349757376E-3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2549.5028442500561</v>
      </c>
      <c r="C5" s="17">
        <f>'Eigen informatie GS &amp; warmtenet'!B60</f>
        <v>0</v>
      </c>
      <c r="D5" s="30">
        <f>IF(ISERROR(SUM(LB_lb_gas_kWh,LB_rest_gas_kWh)/1000),0,SUM(LB_lb_gas_kWh,LB_rest_gas_kWh)/1000)*0.902</f>
        <v>33198.711284972</v>
      </c>
      <c r="E5" s="17">
        <f>B17*'E Balans VL '!I25/3.6*1000000/100</f>
        <v>22.974255660672984</v>
      </c>
      <c r="F5" s="17">
        <f>B17*('E Balans VL '!L25/3.6*1000000+'E Balans VL '!N25/3.6*1000000)/100</f>
        <v>9553.0649146668748</v>
      </c>
      <c r="G5" s="18"/>
      <c r="H5" s="17"/>
      <c r="I5" s="17"/>
      <c r="J5" s="17">
        <f>('E Balans VL '!D25+'E Balans VL '!E25)/3.6*1000000*landbouw!B17/100</f>
        <v>257.99914338877733</v>
      </c>
      <c r="K5" s="17"/>
      <c r="L5" s="17">
        <f>L6*(-1)</f>
        <v>0</v>
      </c>
      <c r="M5" s="17"/>
      <c r="N5" s="17">
        <f>N6*(-1)</f>
        <v>0</v>
      </c>
      <c r="O5" s="17"/>
      <c r="P5" s="17"/>
      <c r="R5" s="32"/>
    </row>
    <row r="6" spans="1:18">
      <c r="A6" s="16" t="s">
        <v>483</v>
      </c>
      <c r="B6" s="17" t="s">
        <v>204</v>
      </c>
      <c r="C6" s="17">
        <f>'lokale energieproductie'!O39+'lokale energieproductie'!O32</f>
        <v>17228.571428571428</v>
      </c>
      <c r="D6" s="302">
        <f>('lokale energieproductie'!P32+'lokale energieproductie'!P39)*(-1)</f>
        <v>-34457.142857142862</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2549.5028442500561</v>
      </c>
      <c r="C8" s="21">
        <f>C5+C6</f>
        <v>17228.571428571428</v>
      </c>
      <c r="D8" s="21">
        <f>MAX((D5+D6),0)</f>
        <v>0</v>
      </c>
      <c r="E8" s="21">
        <f>MAX((E5+E6),0)</f>
        <v>22.974255660672984</v>
      </c>
      <c r="F8" s="21">
        <f>MAX((F5+F6),0)</f>
        <v>9553.0649146668748</v>
      </c>
      <c r="G8" s="21"/>
      <c r="H8" s="21"/>
      <c r="I8" s="21"/>
      <c r="J8" s="21">
        <f>MAX((J5+J6),0)</f>
        <v>257.99914338877733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0.19808943782528654</v>
      </c>
      <c r="C10" s="31">
        <f ca="1">'EF ele_warmte'!B22</f>
        <v>0.23764705882352952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505.0295851514627</v>
      </c>
      <c r="C12" s="23">
        <f ca="1">C8*C10</f>
        <v>4094.3193277310938</v>
      </c>
      <c r="D12" s="23">
        <f>D8*D10</f>
        <v>0</v>
      </c>
      <c r="E12" s="23">
        <f>E8*E10</f>
        <v>5.2151560349727673</v>
      </c>
      <c r="F12" s="23">
        <f>F8*F10</f>
        <v>2550.6683322160557</v>
      </c>
      <c r="G12" s="23"/>
      <c r="H12" s="23"/>
      <c r="I12" s="23"/>
      <c r="J12" s="23">
        <f>J8*J10</f>
        <v>91.331696759627164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0.39241770222974026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276.76999497726013</v>
      </c>
      <c r="C26" s="243">
        <f>B26*'GWP N2O_CH4'!B5</f>
        <v>5812.1698945224625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123.0144292599033</v>
      </c>
      <c r="C27" s="243">
        <f>B27*'GWP N2O_CH4'!B5</f>
        <v>2583.3030144579693</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6.7183819175076147</v>
      </c>
      <c r="C28" s="243">
        <f>B28*'GWP N2O_CH4'!B4</f>
        <v>2082.6983944273607</v>
      </c>
      <c r="D28" s="50"/>
    </row>
    <row r="29" spans="1:4">
      <c r="A29" s="41" t="s">
        <v>266</v>
      </c>
      <c r="B29" s="243">
        <f>B34*'ha_N2O bodem landbouw'!B4</f>
        <v>9.6612924299812057</v>
      </c>
      <c r="C29" s="243">
        <f>B29*'GWP N2O_CH4'!B4</f>
        <v>2995.0006532941738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2.5083711497171949E-3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4.7461562548014807E-6</v>
      </c>
      <c r="C5" s="431" t="s">
        <v>204</v>
      </c>
      <c r="D5" s="416">
        <f>SUM(D6:D11)</f>
        <v>1.4910616404187032E-5</v>
      </c>
      <c r="E5" s="416">
        <f>SUM(E6:E11)</f>
        <v>1.703163931903672E-3</v>
      </c>
      <c r="F5" s="429" t="s">
        <v>204</v>
      </c>
      <c r="G5" s="416">
        <f>SUM(G6:G11)</f>
        <v>0.39213278779399741</v>
      </c>
      <c r="H5" s="416">
        <f>SUM(H6:H11)</f>
        <v>5.2951252706106858E-2</v>
      </c>
      <c r="I5" s="431" t="s">
        <v>204</v>
      </c>
      <c r="J5" s="431" t="s">
        <v>204</v>
      </c>
      <c r="K5" s="431" t="s">
        <v>204</v>
      </c>
      <c r="L5" s="431" t="s">
        <v>204</v>
      </c>
      <c r="M5" s="416">
        <f>SUM(M6:M11)</f>
        <v>1.9329841858465951E-2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1.5190621693002792E-6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4.794884593977437E-6</v>
      </c>
      <c r="E6" s="419">
        <f>vkm_GW_PW*SUMIFS(TableVerdeelsleutelVkm[LPG],TableVerdeelsleutelVkm[Voertuigtype],"Lichte voertuigen")*SUMIFS(TableECFTransport[EnergieConsumptieFactor (PJ per km)],TableECFTransport[Index],CONCATENATE($A6,"_LPG_LPG"))</f>
        <v>4.9798934167953114E-4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6.6472858634271936E-2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1.6695117546013716E-2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3.6319900895533871E-3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3.9489171385858278E-8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1.7800752083243242E-2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5.2377562171069478E-7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7.6686572676930873E-4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5.8349520007291753E-7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3.1238265986840538E-6</v>
      </c>
      <c r="E8" s="419">
        <f>vkm_NGW_PW*SUMIFS(TableVerdeelsleutelVkm[LPG],TableVerdeelsleutelVkm[Voertuigtype],"Lichte voertuigen")*SUMIFS(TableECFTransport[EnergieConsumptieFactor (PJ per km)],TableECFTransport[Index],CONCATENATE($A8,"_LPG_LPG"))</f>
        <v>3.0535449232351396E-4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3.8773870139656559E-2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1.0272618884273102E-2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2.1431444907106462E-3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3.3293694339015027E-10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2.0788412944077326E-4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5.3302268722058603E-9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8.9557210162321756E-6</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2.2421046512757284E-6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6.9919052115255427E-6</v>
      </c>
      <c r="E10" s="419">
        <f>vkm_SW_PW*SUMIFS(TableVerdeelsleutelVkm[LPG],TableVerdeelsleutelVkm[Voertuigtype],"Lichte voertuigen")*SUMIFS(TableECFTransport[EnergieConsumptieFactor (PJ per km)],TableECFTransport[Index],CONCATENATE($A10,"_LPG_LPG"))</f>
        <v>8.998200979006268E-4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0.11156422441908007</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2.597804960596686E-2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6.0017366076842134E-3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3.6167212582330757E-7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0.15731319838830482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4.9375640046063403E-6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6.7771492227321605E-3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1.3183767374448558</v>
      </c>
      <c r="C14" s="21"/>
      <c r="D14" s="21">
        <f t="shared" ref="D14:M14" si="0">((D5)*10^9/3600)+D12</f>
        <v>4.1418378900519537</v>
      </c>
      <c r="E14" s="21">
        <f t="shared" si="0"/>
        <v>473.10109219546445</v>
      </c>
      <c r="F14" s="21"/>
      <c r="G14" s="21">
        <f t="shared" si="0"/>
        <v>108925.77438722151</v>
      </c>
      <c r="H14" s="21">
        <f t="shared" si="0"/>
        <v>14708.681307251905</v>
      </c>
      <c r="I14" s="21"/>
      <c r="J14" s="21"/>
      <c r="K14" s="21"/>
      <c r="L14" s="21"/>
      <c r="M14" s="21">
        <f t="shared" si="0"/>
        <v>5369.4005162405419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0.19808943782528654</v>
      </c>
      <c r="C16" s="56">
        <f ca="1">'EF ele_warmte'!B22</f>
        <v>0.23764705882352952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0.26115650676238689</v>
      </c>
      <c r="C18" s="23"/>
      <c r="D18" s="23">
        <f t="shared" ref="D18:M18" si="1">D14*D16</f>
        <v>0.83665125379049465</v>
      </c>
      <c r="E18" s="23">
        <f t="shared" si="1"/>
        <v>107.39394792837044</v>
      </c>
      <c r="F18" s="23"/>
      <c r="G18" s="23">
        <f t="shared" si="1"/>
        <v>29083.181761388143</v>
      </c>
      <c r="H18" s="23">
        <f t="shared" si="1"/>
        <v>3662.4616455057244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2.4300235261021602E-5</v>
      </c>
      <c r="C50" s="313">
        <f t="shared" ref="C50:P50" si="2">SUM(C51:C52)</f>
        <v>0</v>
      </c>
      <c r="D50" s="313">
        <f t="shared" si="2"/>
        <v>0</v>
      </c>
      <c r="E50" s="313">
        <f t="shared" si="2"/>
        <v>0</v>
      </c>
      <c r="F50" s="313">
        <f t="shared" si="2"/>
        <v>0</v>
      </c>
      <c r="G50" s="313">
        <f t="shared" si="2"/>
        <v>5.2716920689586406E-3</v>
      </c>
      <c r="H50" s="313">
        <f t="shared" si="2"/>
        <v>0</v>
      </c>
      <c r="I50" s="313">
        <f t="shared" si="2"/>
        <v>0</v>
      </c>
      <c r="J50" s="313">
        <f t="shared" si="2"/>
        <v>0</v>
      </c>
      <c r="K50" s="313">
        <f t="shared" si="2"/>
        <v>0</v>
      </c>
      <c r="L50" s="313">
        <f t="shared" si="2"/>
        <v>0</v>
      </c>
      <c r="M50" s="313">
        <f t="shared" si="2"/>
        <v>2.2571360451077458E-4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2.4300235261021602E-5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5.2716920689586406E-3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2.2571360451077458E-4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6.7500653502837791</v>
      </c>
      <c r="C54" s="21">
        <f t="shared" ref="C54:P54" si="3">(C50)*10^9/3600</f>
        <v>0</v>
      </c>
      <c r="D54" s="21">
        <f t="shared" si="3"/>
        <v>0</v>
      </c>
      <c r="E54" s="21">
        <f t="shared" si="3"/>
        <v>0</v>
      </c>
      <c r="F54" s="21">
        <f t="shared" si="3"/>
        <v>0</v>
      </c>
      <c r="G54" s="21">
        <f t="shared" si="3"/>
        <v>1464.358908044067</v>
      </c>
      <c r="H54" s="21">
        <f t="shared" si="3"/>
        <v>0</v>
      </c>
      <c r="I54" s="21">
        <f t="shared" si="3"/>
        <v>0</v>
      </c>
      <c r="J54" s="21">
        <f t="shared" si="3"/>
        <v>0</v>
      </c>
      <c r="K54" s="21">
        <f t="shared" si="3"/>
        <v>0</v>
      </c>
      <c r="L54" s="21">
        <f t="shared" si="3"/>
        <v>0</v>
      </c>
      <c r="M54" s="21">
        <f t="shared" si="3"/>
        <v>62.698223475215158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0.19808943782528654</v>
      </c>
      <c r="C56" s="56">
        <f ca="1">'EF ele_warmte'!B22</f>
        <v>0.23764705882352952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1.3371166505216596</v>
      </c>
      <c r="C58" s="23">
        <f t="shared" ref="C58:P58" ca="1" si="4">C54*C56</f>
        <v>0</v>
      </c>
      <c r="D58" s="23">
        <f t="shared" si="4"/>
        <v>0</v>
      </c>
      <c r="E58" s="23">
        <f t="shared" si="4"/>
        <v>0</v>
      </c>
      <c r="F58" s="23">
        <f t="shared" si="4"/>
        <v>0</v>
      </c>
      <c r="G58" s="23">
        <f t="shared" si="4"/>
        <v>390.98382844776592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3799.2979160042782</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1664.7149877313348</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12060</v>
      </c>
      <c r="C8" s="542">
        <f>B48</f>
        <v>14188.23529411765</v>
      </c>
      <c r="D8" s="920"/>
      <c r="E8" s="920">
        <f>E48</f>
        <v>0</v>
      </c>
      <c r="F8" s="921"/>
      <c r="G8" s="543"/>
      <c r="H8" s="920">
        <f>I48</f>
        <v>0</v>
      </c>
      <c r="I8" s="920">
        <f>G48+F48</f>
        <v>0</v>
      </c>
      <c r="J8" s="920">
        <f>H48+D48+C48</f>
        <v>0</v>
      </c>
      <c r="K8" s="920"/>
      <c r="L8" s="920"/>
      <c r="M8" s="920"/>
      <c r="N8" s="544"/>
      <c r="O8" s="545">
        <f>C8*$C$12+D8*$D$12+E8*$E$12+F8*$F$12+G8*$G$12+H8*$H$12+I8*$I$12+J8*$J$12</f>
        <v>2866.0235294117656</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17524.012903735613</v>
      </c>
      <c r="C10" s="554">
        <f t="shared" ref="C10:L10" si="0">SUM(C8:C9)</f>
        <v>14188.23529411765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2866.0235294117656</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17228.571428571428</v>
      </c>
      <c r="C17" s="566">
        <f>B49</f>
        <v>20268.907563025215</v>
      </c>
      <c r="D17" s="567"/>
      <c r="E17" s="567">
        <f>E49</f>
        <v>0</v>
      </c>
      <c r="F17" s="568"/>
      <c r="G17" s="569"/>
      <c r="H17" s="566">
        <f>I49</f>
        <v>0</v>
      </c>
      <c r="I17" s="567">
        <f>G49+F49</f>
        <v>0</v>
      </c>
      <c r="J17" s="567">
        <f>H49+D49+C49</f>
        <v>0</v>
      </c>
      <c r="K17" s="567"/>
      <c r="L17" s="567"/>
      <c r="M17" s="567"/>
      <c r="N17" s="916"/>
      <c r="O17" s="570">
        <f>C17*$C$22+E17*$E$22+H17*$H$22+I17*$I$22+J17*$J$22+D17*$D$22+F17*$F$22+G17*$G$22+K17*$K$22+L17*$L$22</f>
        <v>4094.3193277310938</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17228.571428571428</v>
      </c>
      <c r="C20" s="553">
        <f>SUM(C17:C19)</f>
        <v>20268.907563025215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4094.3193277310938</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13031</v>
      </c>
      <c r="C28" s="736">
        <v>2360</v>
      </c>
      <c r="D28" s="626"/>
      <c r="E28" s="625"/>
      <c r="F28" s="625"/>
      <c r="G28" s="625" t="s">
        <v>962</v>
      </c>
      <c r="H28" s="625" t="s">
        <v>963</v>
      </c>
      <c r="I28" s="625"/>
      <c r="J28" s="735"/>
      <c r="K28" s="735"/>
      <c r="L28" s="625" t="s">
        <v>964</v>
      </c>
      <c r="M28" s="625">
        <v>2680</v>
      </c>
      <c r="N28" s="625">
        <v>12060</v>
      </c>
      <c r="O28" s="625">
        <v>17228.571428571428</v>
      </c>
      <c r="P28" s="625">
        <v>34457.142857142862</v>
      </c>
      <c r="Q28" s="625">
        <v>0</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2680</v>
      </c>
      <c r="N29" s="583">
        <f>SUM(N28:N28)</f>
        <v>12060</v>
      </c>
      <c r="O29" s="583">
        <f>SUM(O28:O28)</f>
        <v>17228.571428571428</v>
      </c>
      <c r="P29" s="583">
        <f>SUM(P28:P28)</f>
        <v>34457.142857142862</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2680</v>
      </c>
      <c r="N32" s="588">
        <f>SUMIF($AA$28:$AA$28,"landbouw",N28:N28)</f>
        <v>12060</v>
      </c>
      <c r="O32" s="588">
        <f>SUMIF($AA$28:$AA$28,"landbouw",O28:O28)</f>
        <v>17228.571428571428</v>
      </c>
      <c r="P32" s="588">
        <f>SUMIF($AA$28:$AA$28,"landbouw",P28:P28)</f>
        <v>34457.142857142862</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0.41176470588235298</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14188.23529411765</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20268.907563025215</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13428.262831509777</v>
      </c>
      <c r="D10" s="635">
        <f ca="1">tertiair!C16</f>
        <v>0</v>
      </c>
      <c r="E10" s="635">
        <f ca="1">tertiair!D16</f>
        <v>16652.463823892329</v>
      </c>
      <c r="F10" s="635">
        <f>tertiair!E16</f>
        <v>265.58157490963333</v>
      </c>
      <c r="G10" s="635">
        <f ca="1">tertiair!F16</f>
        <v>2587.6024157293705</v>
      </c>
      <c r="H10" s="635">
        <f>tertiair!G16</f>
        <v>0</v>
      </c>
      <c r="I10" s="635">
        <f>tertiair!H16</f>
        <v>0</v>
      </c>
      <c r="J10" s="635">
        <f>tertiair!I16</f>
        <v>0</v>
      </c>
      <c r="K10" s="635">
        <f>tertiair!J16</f>
        <v>0</v>
      </c>
      <c r="L10" s="635">
        <f>tertiair!K16</f>
        <v>0</v>
      </c>
      <c r="M10" s="635">
        <f ca="1">tertiair!L16</f>
        <v>0</v>
      </c>
      <c r="N10" s="635">
        <f>tertiair!M16</f>
        <v>0</v>
      </c>
      <c r="O10" s="635">
        <f ca="1">tertiair!N16</f>
        <v>789.43662769738501</v>
      </c>
      <c r="P10" s="635">
        <f>tertiair!O16</f>
        <v>1.5633333333333335</v>
      </c>
      <c r="Q10" s="636">
        <f>tertiair!P16</f>
        <v>38.133333333333333</v>
      </c>
      <c r="R10" s="638">
        <f ca="1">SUM(C10:Q10)</f>
        <v>33763.04394040515</v>
      </c>
      <c r="S10" s="67"/>
    </row>
    <row r="11" spans="1:19" s="441" customFormat="1">
      <c r="A11" s="749" t="s">
        <v>214</v>
      </c>
      <c r="B11" s="754"/>
      <c r="C11" s="635">
        <f>huishoudens!B8</f>
        <v>24761.831429858092</v>
      </c>
      <c r="D11" s="635">
        <f>huishoudens!C8</f>
        <v>0</v>
      </c>
      <c r="E11" s="635">
        <f>huishoudens!D8</f>
        <v>69392.7423980038</v>
      </c>
      <c r="F11" s="635">
        <f>huishoudens!E8</f>
        <v>832.65267871151866</v>
      </c>
      <c r="G11" s="635">
        <f>huishoudens!F8</f>
        <v>28422.095967079724</v>
      </c>
      <c r="H11" s="635">
        <f>huishoudens!G8</f>
        <v>0</v>
      </c>
      <c r="I11" s="635">
        <f>huishoudens!H8</f>
        <v>0</v>
      </c>
      <c r="J11" s="635">
        <f>huishoudens!I8</f>
        <v>0</v>
      </c>
      <c r="K11" s="635">
        <f>huishoudens!J8</f>
        <v>639.99354300301661</v>
      </c>
      <c r="L11" s="635">
        <f>huishoudens!K8</f>
        <v>0</v>
      </c>
      <c r="M11" s="635">
        <f>huishoudens!L8</f>
        <v>0</v>
      </c>
      <c r="N11" s="635">
        <f>huishoudens!M8</f>
        <v>0</v>
      </c>
      <c r="O11" s="635">
        <f>huishoudens!N8</f>
        <v>5934.7503458507163</v>
      </c>
      <c r="P11" s="635">
        <f>huishoudens!O8</f>
        <v>84.42</v>
      </c>
      <c r="Q11" s="636">
        <f>huishoudens!P8</f>
        <v>266.93333333333334</v>
      </c>
      <c r="R11" s="638">
        <f>SUM(C11:Q11)</f>
        <v>130335.41969584019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1950.1542575366493</v>
      </c>
      <c r="D13" s="635">
        <f>industrie!C18</f>
        <v>0</v>
      </c>
      <c r="E13" s="635">
        <f>industrie!D18</f>
        <v>2007.4857485151422</v>
      </c>
      <c r="F13" s="635">
        <f>industrie!E18</f>
        <v>22.902575564588904</v>
      </c>
      <c r="G13" s="635">
        <f>industrie!F18</f>
        <v>771.05694466657951</v>
      </c>
      <c r="H13" s="635">
        <f>industrie!G18</f>
        <v>0</v>
      </c>
      <c r="I13" s="635">
        <f>industrie!H18</f>
        <v>0</v>
      </c>
      <c r="J13" s="635">
        <f>industrie!I18</f>
        <v>0</v>
      </c>
      <c r="K13" s="635">
        <f>industrie!J18</f>
        <v>7.9483659434144922</v>
      </c>
      <c r="L13" s="635">
        <f>industrie!K18</f>
        <v>0</v>
      </c>
      <c r="M13" s="635">
        <f>industrie!L18</f>
        <v>0</v>
      </c>
      <c r="N13" s="635">
        <f>industrie!M18</f>
        <v>0</v>
      </c>
      <c r="O13" s="635">
        <f>industrie!N18</f>
        <v>71.859181796430448</v>
      </c>
      <c r="P13" s="635">
        <f>industrie!O18</f>
        <v>0</v>
      </c>
      <c r="Q13" s="636">
        <f>industrie!P18</f>
        <v>0</v>
      </c>
      <c r="R13" s="638">
        <f>SUM(C13:Q13)</f>
        <v>4831.4070740228053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40140.248518904518</v>
      </c>
      <c r="D16" s="668">
        <f t="shared" ref="D16:R16" ca="1" si="0">SUM(D9:D15)</f>
        <v>0</v>
      </c>
      <c r="E16" s="668">
        <f t="shared" ca="1" si="0"/>
        <v>88052.691970411281</v>
      </c>
      <c r="F16" s="668">
        <f t="shared" si="0"/>
        <v>1121.1368291857409</v>
      </c>
      <c r="G16" s="668">
        <f t="shared" ca="1" si="0"/>
        <v>31780.755327475676</v>
      </c>
      <c r="H16" s="668">
        <f t="shared" si="0"/>
        <v>0</v>
      </c>
      <c r="I16" s="668">
        <f t="shared" si="0"/>
        <v>0</v>
      </c>
      <c r="J16" s="668">
        <f t="shared" si="0"/>
        <v>0</v>
      </c>
      <c r="K16" s="668">
        <f t="shared" si="0"/>
        <v>647.94190894643111</v>
      </c>
      <c r="L16" s="668">
        <f t="shared" si="0"/>
        <v>0</v>
      </c>
      <c r="M16" s="668">
        <f t="shared" ca="1" si="0"/>
        <v>0</v>
      </c>
      <c r="N16" s="668">
        <f t="shared" si="0"/>
        <v>0</v>
      </c>
      <c r="O16" s="668">
        <f t="shared" ca="1" si="0"/>
        <v>6796.0461553445321</v>
      </c>
      <c r="P16" s="668">
        <f t="shared" si="0"/>
        <v>85.983333333333334</v>
      </c>
      <c r="Q16" s="668">
        <f t="shared" si="0"/>
        <v>305.06666666666666</v>
      </c>
      <c r="R16" s="668">
        <f t="shared" ca="1" si="0"/>
        <v>168929.87071026815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6.7500653502837791</v>
      </c>
      <c r="D19" s="635">
        <f>transport!C54</f>
        <v>0</v>
      </c>
      <c r="E19" s="635">
        <f>transport!D54</f>
        <v>0</v>
      </c>
      <c r="F19" s="635">
        <f>transport!E54</f>
        <v>0</v>
      </c>
      <c r="G19" s="635">
        <f>transport!F54</f>
        <v>0</v>
      </c>
      <c r="H19" s="635">
        <f>transport!G54</f>
        <v>1464.358908044067</v>
      </c>
      <c r="I19" s="635">
        <f>transport!H54</f>
        <v>0</v>
      </c>
      <c r="J19" s="635">
        <f>transport!I54</f>
        <v>0</v>
      </c>
      <c r="K19" s="635">
        <f>transport!J54</f>
        <v>0</v>
      </c>
      <c r="L19" s="635">
        <f>transport!K54</f>
        <v>0</v>
      </c>
      <c r="M19" s="635">
        <f>transport!L54</f>
        <v>0</v>
      </c>
      <c r="N19" s="635">
        <f>transport!M54</f>
        <v>62.698223475215158</v>
      </c>
      <c r="O19" s="635">
        <f>transport!N54</f>
        <v>0</v>
      </c>
      <c r="P19" s="635">
        <f>transport!O54</f>
        <v>0</v>
      </c>
      <c r="Q19" s="636">
        <f>transport!P54</f>
        <v>0</v>
      </c>
      <c r="R19" s="638">
        <f>SUM(C19:Q19)</f>
        <v>1533.807196869566</v>
      </c>
      <c r="S19" s="67"/>
    </row>
    <row r="20" spans="1:19" s="441" customFormat="1">
      <c r="A20" s="749" t="s">
        <v>296</v>
      </c>
      <c r="B20" s="754"/>
      <c r="C20" s="635">
        <f>transport!B14</f>
        <v>1.3183767374448558</v>
      </c>
      <c r="D20" s="635">
        <f>transport!C14</f>
        <v>0</v>
      </c>
      <c r="E20" s="635">
        <f>transport!D14</f>
        <v>4.1418378900519537</v>
      </c>
      <c r="F20" s="635">
        <f>transport!E14</f>
        <v>473.10109219546445</v>
      </c>
      <c r="G20" s="635">
        <f>transport!F14</f>
        <v>0</v>
      </c>
      <c r="H20" s="635">
        <f>transport!G14</f>
        <v>108925.77438722151</v>
      </c>
      <c r="I20" s="635">
        <f>transport!H14</f>
        <v>14708.681307251905</v>
      </c>
      <c r="J20" s="635">
        <f>transport!I14</f>
        <v>0</v>
      </c>
      <c r="K20" s="635">
        <f>transport!J14</f>
        <v>0</v>
      </c>
      <c r="L20" s="635">
        <f>transport!K14</f>
        <v>0</v>
      </c>
      <c r="M20" s="635">
        <f>transport!L14</f>
        <v>0</v>
      </c>
      <c r="N20" s="635">
        <f>transport!M14</f>
        <v>5369.4005162405419</v>
      </c>
      <c r="O20" s="635">
        <f>transport!N14</f>
        <v>0</v>
      </c>
      <c r="P20" s="635">
        <f>transport!O14</f>
        <v>0</v>
      </c>
      <c r="Q20" s="636">
        <f>transport!P14</f>
        <v>0</v>
      </c>
      <c r="R20" s="638">
        <f>SUM(C20:Q20)</f>
        <v>129482.4175175369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8.0684420877286342</v>
      </c>
      <c r="D22" s="752">
        <f t="shared" ref="D22:R22" si="1">SUM(D18:D21)</f>
        <v>0</v>
      </c>
      <c r="E22" s="752">
        <f t="shared" si="1"/>
        <v>4.1418378900519537</v>
      </c>
      <c r="F22" s="752">
        <f t="shared" si="1"/>
        <v>473.10109219546445</v>
      </c>
      <c r="G22" s="752">
        <f t="shared" si="1"/>
        <v>0</v>
      </c>
      <c r="H22" s="752">
        <f t="shared" si="1"/>
        <v>110390.13329526558</v>
      </c>
      <c r="I22" s="752">
        <f t="shared" si="1"/>
        <v>14708.681307251905</v>
      </c>
      <c r="J22" s="752">
        <f t="shared" si="1"/>
        <v>0</v>
      </c>
      <c r="K22" s="752">
        <f t="shared" si="1"/>
        <v>0</v>
      </c>
      <c r="L22" s="752">
        <f t="shared" si="1"/>
        <v>0</v>
      </c>
      <c r="M22" s="752">
        <f t="shared" si="1"/>
        <v>0</v>
      </c>
      <c r="N22" s="752">
        <f t="shared" si="1"/>
        <v>5432.0987397157569</v>
      </c>
      <c r="O22" s="752">
        <f t="shared" si="1"/>
        <v>0</v>
      </c>
      <c r="P22" s="752">
        <f t="shared" si="1"/>
        <v>0</v>
      </c>
      <c r="Q22" s="752">
        <f t="shared" si="1"/>
        <v>0</v>
      </c>
      <c r="R22" s="752">
        <f t="shared" si="1"/>
        <v>131016.22471440647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2549.5028442500561</v>
      </c>
      <c r="D24" s="635">
        <f>+landbouw!C8</f>
        <v>17228.571428571428</v>
      </c>
      <c r="E24" s="635">
        <f>+landbouw!D8</f>
        <v>0</v>
      </c>
      <c r="F24" s="635">
        <f>+landbouw!E8</f>
        <v>22.974255660672984</v>
      </c>
      <c r="G24" s="635">
        <f>+landbouw!F8</f>
        <v>9553.0649146668748</v>
      </c>
      <c r="H24" s="635">
        <f>+landbouw!G8</f>
        <v>0</v>
      </c>
      <c r="I24" s="635">
        <f>+landbouw!H8</f>
        <v>0</v>
      </c>
      <c r="J24" s="635">
        <f>+landbouw!I8</f>
        <v>0</v>
      </c>
      <c r="K24" s="635">
        <f>+landbouw!J8</f>
        <v>257.99914338877733</v>
      </c>
      <c r="L24" s="635">
        <f>+landbouw!K8</f>
        <v>0</v>
      </c>
      <c r="M24" s="635">
        <f>+landbouw!L8</f>
        <v>0</v>
      </c>
      <c r="N24" s="635">
        <f>+landbouw!M8</f>
        <v>0</v>
      </c>
      <c r="O24" s="635">
        <f>+landbouw!N8</f>
        <v>0</v>
      </c>
      <c r="P24" s="635">
        <f>+landbouw!O8</f>
        <v>0</v>
      </c>
      <c r="Q24" s="636">
        <f>+landbouw!P8</f>
        <v>0</v>
      </c>
      <c r="R24" s="638">
        <f>SUM(C24:Q24)</f>
        <v>29612.112586537805</v>
      </c>
      <c r="S24" s="67"/>
    </row>
    <row r="25" spans="1:19" s="441" customFormat="1" ht="15" thickBot="1">
      <c r="A25" s="771" t="s">
        <v>864</v>
      </c>
      <c r="B25" s="923"/>
      <c r="C25" s="924">
        <f>IF(Onbekend_ele_kWh="---",0,Onbekend_ele_kWh)/1000+IF(REST_rest_ele_kWh="---",0,REST_rest_ele_kWh)/1000</f>
        <v>1246.2490760092801</v>
      </c>
      <c r="D25" s="924"/>
      <c r="E25" s="924">
        <f>IF(onbekend_gas_kWh="---",0,onbekend_gas_kWh)/1000+IF(REST_rest_gas_kWh="---",0,REST_rest_gas_kWh)/1000</f>
        <v>2457.58983598028</v>
      </c>
      <c r="F25" s="924"/>
      <c r="G25" s="924"/>
      <c r="H25" s="924"/>
      <c r="I25" s="924"/>
      <c r="J25" s="924"/>
      <c r="K25" s="924"/>
      <c r="L25" s="924"/>
      <c r="M25" s="924"/>
      <c r="N25" s="924"/>
      <c r="O25" s="924"/>
      <c r="P25" s="924"/>
      <c r="Q25" s="925"/>
      <c r="R25" s="638">
        <f>SUM(C25:Q25)</f>
        <v>3703.8389119895601</v>
      </c>
      <c r="S25" s="67"/>
    </row>
    <row r="26" spans="1:19" s="441" customFormat="1" ht="15.75" thickBot="1">
      <c r="A26" s="641" t="s">
        <v>865</v>
      </c>
      <c r="B26" s="757"/>
      <c r="C26" s="752">
        <f>SUM(C24:C25)</f>
        <v>3795.7519202593362</v>
      </c>
      <c r="D26" s="752">
        <f t="shared" ref="D26:R26" si="2">SUM(D24:D25)</f>
        <v>17228.571428571428</v>
      </c>
      <c r="E26" s="752">
        <f t="shared" si="2"/>
        <v>2457.58983598028</v>
      </c>
      <c r="F26" s="752">
        <f t="shared" si="2"/>
        <v>22.974255660672984</v>
      </c>
      <c r="G26" s="752">
        <f t="shared" si="2"/>
        <v>9553.0649146668748</v>
      </c>
      <c r="H26" s="752">
        <f t="shared" si="2"/>
        <v>0</v>
      </c>
      <c r="I26" s="752">
        <f t="shared" si="2"/>
        <v>0</v>
      </c>
      <c r="J26" s="752">
        <f t="shared" si="2"/>
        <v>0</v>
      </c>
      <c r="K26" s="752">
        <f t="shared" si="2"/>
        <v>257.99914338877733</v>
      </c>
      <c r="L26" s="752">
        <f t="shared" si="2"/>
        <v>0</v>
      </c>
      <c r="M26" s="752">
        <f t="shared" si="2"/>
        <v>0</v>
      </c>
      <c r="N26" s="752">
        <f t="shared" si="2"/>
        <v>0</v>
      </c>
      <c r="O26" s="752">
        <f t="shared" si="2"/>
        <v>0</v>
      </c>
      <c r="P26" s="752">
        <f t="shared" si="2"/>
        <v>0</v>
      </c>
      <c r="Q26" s="752">
        <f t="shared" si="2"/>
        <v>0</v>
      </c>
      <c r="R26" s="752">
        <f t="shared" si="2"/>
        <v>33315.951498527364</v>
      </c>
      <c r="S26" s="67"/>
    </row>
    <row r="27" spans="1:19" s="441" customFormat="1" ht="17.25" thickTop="1" thickBot="1">
      <c r="A27" s="642" t="s">
        <v>109</v>
      </c>
      <c r="B27" s="744"/>
      <c r="C27" s="643">
        <f ca="1">C22+C16+C26</f>
        <v>43944.068881251587</v>
      </c>
      <c r="D27" s="643">
        <f t="shared" ref="D27:R27" ca="1" si="3">D22+D16+D26</f>
        <v>17228.571428571428</v>
      </c>
      <c r="E27" s="643">
        <f t="shared" ca="1" si="3"/>
        <v>90514.423644281618</v>
      </c>
      <c r="F27" s="643">
        <f t="shared" si="3"/>
        <v>1617.2121770418782</v>
      </c>
      <c r="G27" s="643">
        <f t="shared" ca="1" si="3"/>
        <v>41333.820242142552</v>
      </c>
      <c r="H27" s="643">
        <f t="shared" si="3"/>
        <v>110390.13329526558</v>
      </c>
      <c r="I27" s="643">
        <f t="shared" si="3"/>
        <v>14708.681307251905</v>
      </c>
      <c r="J27" s="643">
        <f t="shared" si="3"/>
        <v>0</v>
      </c>
      <c r="K27" s="643">
        <f t="shared" si="3"/>
        <v>905.9410523352085</v>
      </c>
      <c r="L27" s="643">
        <f t="shared" si="3"/>
        <v>0</v>
      </c>
      <c r="M27" s="643">
        <f t="shared" ca="1" si="3"/>
        <v>0</v>
      </c>
      <c r="N27" s="643">
        <f t="shared" si="3"/>
        <v>5432.0987397157569</v>
      </c>
      <c r="O27" s="643">
        <f t="shared" ca="1" si="3"/>
        <v>6796.0461553445321</v>
      </c>
      <c r="P27" s="643">
        <f t="shared" si="3"/>
        <v>85.983333333333334</v>
      </c>
      <c r="Q27" s="643">
        <f t="shared" si="3"/>
        <v>305.06666666666666</v>
      </c>
      <c r="R27" s="643">
        <f t="shared" ca="1" si="3"/>
        <v>333262.046923202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2659.9970352639625</v>
      </c>
      <c r="D40" s="635">
        <f ca="1">tertiair!C20</f>
        <v>0</v>
      </c>
      <c r="E40" s="635">
        <f ca="1">tertiair!D20</f>
        <v>3363.7976924262507</v>
      </c>
      <c r="F40" s="635">
        <f>tertiair!E20</f>
        <v>60.287017504486769</v>
      </c>
      <c r="G40" s="635">
        <f ca="1">tertiair!F20</f>
        <v>690.88984499974197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6774.9715901944419</v>
      </c>
    </row>
    <row r="41" spans="1:18">
      <c r="A41" s="762" t="s">
        <v>214</v>
      </c>
      <c r="B41" s="769"/>
      <c r="C41" s="635">
        <f ca="1">huishoudens!B12</f>
        <v>4905.0572674651003</v>
      </c>
      <c r="D41" s="635">
        <f ca="1">huishoudens!C12</f>
        <v>0</v>
      </c>
      <c r="E41" s="635">
        <f>huishoudens!D12</f>
        <v>14017.333964396768</v>
      </c>
      <c r="F41" s="635">
        <f>huishoudens!E12</f>
        <v>189.01215806751475</v>
      </c>
      <c r="G41" s="635">
        <f>huishoudens!F12</f>
        <v>7588.6996232102865</v>
      </c>
      <c r="H41" s="635">
        <f>huishoudens!G12</f>
        <v>0</v>
      </c>
      <c r="I41" s="635">
        <f>huishoudens!H12</f>
        <v>0</v>
      </c>
      <c r="J41" s="635">
        <f>huishoudens!I12</f>
        <v>0</v>
      </c>
      <c r="K41" s="635">
        <f>huishoudens!J12</f>
        <v>226.55771422306788</v>
      </c>
      <c r="L41" s="635">
        <f>huishoudens!K12</f>
        <v>0</v>
      </c>
      <c r="M41" s="635">
        <f>huishoudens!L12</f>
        <v>0</v>
      </c>
      <c r="N41" s="635">
        <f>huishoudens!M12</f>
        <v>0</v>
      </c>
      <c r="O41" s="635">
        <f>huishoudens!N12</f>
        <v>0</v>
      </c>
      <c r="P41" s="635">
        <f>huishoudens!O12</f>
        <v>0</v>
      </c>
      <c r="Q41" s="710">
        <f>huishoudens!P12</f>
        <v>0</v>
      </c>
      <c r="R41" s="790">
        <f t="shared" ca="1" si="4"/>
        <v>26926.660727362738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386.30496054802393</v>
      </c>
      <c r="D43" s="635">
        <f ca="1">industrie!C22</f>
        <v>0</v>
      </c>
      <c r="E43" s="635">
        <f>industrie!D22</f>
        <v>405.51212120005874</v>
      </c>
      <c r="F43" s="635">
        <f>industrie!E22</f>
        <v>5.1988846531616817</v>
      </c>
      <c r="G43" s="635">
        <f>industrie!F22</f>
        <v>205.87220422597673</v>
      </c>
      <c r="H43" s="635">
        <f>industrie!G22</f>
        <v>0</v>
      </c>
      <c r="I43" s="635">
        <f>industrie!H22</f>
        <v>0</v>
      </c>
      <c r="J43" s="635">
        <f>industrie!I22</f>
        <v>0</v>
      </c>
      <c r="K43" s="635">
        <f>industrie!J22</f>
        <v>2.8137215439687302</v>
      </c>
      <c r="L43" s="635">
        <f>industrie!K22</f>
        <v>0</v>
      </c>
      <c r="M43" s="635">
        <f>industrie!L22</f>
        <v>0</v>
      </c>
      <c r="N43" s="635">
        <f>industrie!M22</f>
        <v>0</v>
      </c>
      <c r="O43" s="635">
        <f>industrie!N22</f>
        <v>0</v>
      </c>
      <c r="P43" s="635">
        <f>industrie!O22</f>
        <v>0</v>
      </c>
      <c r="Q43" s="710">
        <f>industrie!P22</f>
        <v>0</v>
      </c>
      <c r="R43" s="789">
        <f t="shared" ca="1" si="4"/>
        <v>1005.7018921711899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7951.359263277086</v>
      </c>
      <c r="D46" s="668">
        <f t="shared" ref="D46:Q46" ca="1" si="5">SUM(D39:D45)</f>
        <v>0</v>
      </c>
      <c r="E46" s="668">
        <f t="shared" ca="1" si="5"/>
        <v>17786.643778023077</v>
      </c>
      <c r="F46" s="668">
        <f t="shared" si="5"/>
        <v>254.49806022516319</v>
      </c>
      <c r="G46" s="668">
        <f t="shared" ca="1" si="5"/>
        <v>8485.4616724360039</v>
      </c>
      <c r="H46" s="668">
        <f t="shared" si="5"/>
        <v>0</v>
      </c>
      <c r="I46" s="668">
        <f t="shared" si="5"/>
        <v>0</v>
      </c>
      <c r="J46" s="668">
        <f t="shared" si="5"/>
        <v>0</v>
      </c>
      <c r="K46" s="668">
        <f t="shared" si="5"/>
        <v>229.37143576703662</v>
      </c>
      <c r="L46" s="668">
        <f t="shared" si="5"/>
        <v>0</v>
      </c>
      <c r="M46" s="668">
        <f t="shared" ca="1" si="5"/>
        <v>0</v>
      </c>
      <c r="N46" s="668">
        <f t="shared" si="5"/>
        <v>0</v>
      </c>
      <c r="O46" s="668">
        <f t="shared" ca="1" si="5"/>
        <v>0</v>
      </c>
      <c r="P46" s="668">
        <f t="shared" si="5"/>
        <v>0</v>
      </c>
      <c r="Q46" s="668">
        <f t="shared" si="5"/>
        <v>0</v>
      </c>
      <c r="R46" s="668">
        <f ca="1">SUM(R39:R45)</f>
        <v>34707.334209728375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1.3371166505216596</v>
      </c>
      <c r="D49" s="635">
        <f ca="1">transport!C58</f>
        <v>0</v>
      </c>
      <c r="E49" s="635">
        <f>transport!D58</f>
        <v>0</v>
      </c>
      <c r="F49" s="635">
        <f>transport!E58</f>
        <v>0</v>
      </c>
      <c r="G49" s="635">
        <f>transport!F58</f>
        <v>0</v>
      </c>
      <c r="H49" s="635">
        <f>transport!G58</f>
        <v>390.98382844776592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392.32094509828755</v>
      </c>
    </row>
    <row r="50" spans="1:18">
      <c r="A50" s="765" t="s">
        <v>296</v>
      </c>
      <c r="B50" s="775"/>
      <c r="C50" s="930">
        <f ca="1">transport!B18</f>
        <v>0.26115650676238689</v>
      </c>
      <c r="D50" s="930">
        <f>transport!C18</f>
        <v>0</v>
      </c>
      <c r="E50" s="930">
        <f>transport!D18</f>
        <v>0.83665125379049465</v>
      </c>
      <c r="F50" s="930">
        <f>transport!E18</f>
        <v>107.39394792837044</v>
      </c>
      <c r="G50" s="930">
        <f>transport!F18</f>
        <v>0</v>
      </c>
      <c r="H50" s="930">
        <f>transport!G18</f>
        <v>29083.181761388143</v>
      </c>
      <c r="I50" s="930">
        <f>transport!H18</f>
        <v>3662.4616455057244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32854.135162582788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1.5982731572840465</v>
      </c>
      <c r="D52" s="668">
        <f t="shared" ref="D52:Q52" ca="1" si="6">SUM(D48:D51)</f>
        <v>0</v>
      </c>
      <c r="E52" s="668">
        <f t="shared" si="6"/>
        <v>0.83665125379049465</v>
      </c>
      <c r="F52" s="668">
        <f t="shared" si="6"/>
        <v>107.39394792837044</v>
      </c>
      <c r="G52" s="668">
        <f t="shared" si="6"/>
        <v>0</v>
      </c>
      <c r="H52" s="668">
        <f t="shared" si="6"/>
        <v>29474.165589835909</v>
      </c>
      <c r="I52" s="668">
        <f t="shared" si="6"/>
        <v>3662.4616455057244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33246.456107681079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505.0295851514627</v>
      </c>
      <c r="D54" s="930">
        <f ca="1">+landbouw!C12</f>
        <v>4094.3193277310938</v>
      </c>
      <c r="E54" s="930">
        <f>+landbouw!D12</f>
        <v>0</v>
      </c>
      <c r="F54" s="930">
        <f>+landbouw!E12</f>
        <v>5.2151560349727673</v>
      </c>
      <c r="G54" s="930">
        <f>+landbouw!F12</f>
        <v>2550.6683322160557</v>
      </c>
      <c r="H54" s="930">
        <f>+landbouw!G12</f>
        <v>0</v>
      </c>
      <c r="I54" s="930">
        <f>+landbouw!H12</f>
        <v>0</v>
      </c>
      <c r="J54" s="930">
        <f>+landbouw!I12</f>
        <v>0</v>
      </c>
      <c r="K54" s="930">
        <f>+landbouw!J12</f>
        <v>91.331696759627164</v>
      </c>
      <c r="L54" s="930">
        <f>+landbouw!K12</f>
        <v>0</v>
      </c>
      <c r="M54" s="930">
        <f>+landbouw!L12</f>
        <v>0</v>
      </c>
      <c r="N54" s="930">
        <f>+landbouw!M12</f>
        <v>0</v>
      </c>
      <c r="O54" s="930">
        <f>+landbouw!N12</f>
        <v>0</v>
      </c>
      <c r="P54" s="930">
        <f>+landbouw!O12</f>
        <v>0</v>
      </c>
      <c r="Q54" s="931">
        <f>+landbouw!P12</f>
        <v>0</v>
      </c>
      <c r="R54" s="667">
        <f ca="1">SUM(C54:Q54)</f>
        <v>7246.5640978932133</v>
      </c>
    </row>
    <row r="55" spans="1:18" ht="15" thickBot="1">
      <c r="A55" s="765" t="s">
        <v>864</v>
      </c>
      <c r="B55" s="775"/>
      <c r="C55" s="930">
        <f ca="1">C25*'EF ele_warmte'!B12</f>
        <v>246.86877885696109</v>
      </c>
      <c r="D55" s="930"/>
      <c r="E55" s="930">
        <f>E25*EF_CO2_aardgas</f>
        <v>496.43314686801659</v>
      </c>
      <c r="F55" s="930"/>
      <c r="G55" s="930"/>
      <c r="H55" s="930"/>
      <c r="I55" s="930"/>
      <c r="J55" s="930"/>
      <c r="K55" s="930"/>
      <c r="L55" s="930"/>
      <c r="M55" s="930"/>
      <c r="N55" s="930"/>
      <c r="O55" s="930"/>
      <c r="P55" s="930"/>
      <c r="Q55" s="931"/>
      <c r="R55" s="667">
        <f ca="1">SUM(C55:Q55)</f>
        <v>743.30192572497765</v>
      </c>
    </row>
    <row r="56" spans="1:18" ht="15.75" thickBot="1">
      <c r="A56" s="763" t="s">
        <v>865</v>
      </c>
      <c r="B56" s="776"/>
      <c r="C56" s="668">
        <f ca="1">SUM(C54:C55)</f>
        <v>751.89836400842375</v>
      </c>
      <c r="D56" s="668">
        <f t="shared" ref="D56:Q56" ca="1" si="7">SUM(D54:D55)</f>
        <v>4094.3193277310938</v>
      </c>
      <c r="E56" s="668">
        <f t="shared" si="7"/>
        <v>496.43314686801659</v>
      </c>
      <c r="F56" s="668">
        <f t="shared" si="7"/>
        <v>5.2151560349727673</v>
      </c>
      <c r="G56" s="668">
        <f t="shared" si="7"/>
        <v>2550.6683322160557</v>
      </c>
      <c r="H56" s="668">
        <f t="shared" si="7"/>
        <v>0</v>
      </c>
      <c r="I56" s="668">
        <f t="shared" si="7"/>
        <v>0</v>
      </c>
      <c r="J56" s="668">
        <f t="shared" si="7"/>
        <v>0</v>
      </c>
      <c r="K56" s="668">
        <f t="shared" si="7"/>
        <v>91.331696759627164</v>
      </c>
      <c r="L56" s="668">
        <f t="shared" si="7"/>
        <v>0</v>
      </c>
      <c r="M56" s="668">
        <f t="shared" si="7"/>
        <v>0</v>
      </c>
      <c r="N56" s="668">
        <f t="shared" si="7"/>
        <v>0</v>
      </c>
      <c r="O56" s="668">
        <f t="shared" si="7"/>
        <v>0</v>
      </c>
      <c r="P56" s="668">
        <f t="shared" si="7"/>
        <v>0</v>
      </c>
      <c r="Q56" s="669">
        <f t="shared" si="7"/>
        <v>0</v>
      </c>
      <c r="R56" s="670">
        <f ca="1">SUM(R54:R55)</f>
        <v>7989.8660236181913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8704.8559004427934</v>
      </c>
      <c r="D61" s="676">
        <f t="shared" ref="D61:Q61" ca="1" si="8">D46+D52+D56</f>
        <v>4094.3193277310938</v>
      </c>
      <c r="E61" s="676">
        <f t="shared" ca="1" si="8"/>
        <v>18283.913576144885</v>
      </c>
      <c r="F61" s="676">
        <f t="shared" si="8"/>
        <v>367.10716418850643</v>
      </c>
      <c r="G61" s="676">
        <f t="shared" ca="1" si="8"/>
        <v>11036.130004652059</v>
      </c>
      <c r="H61" s="676">
        <f t="shared" si="8"/>
        <v>29474.165589835909</v>
      </c>
      <c r="I61" s="676">
        <f t="shared" si="8"/>
        <v>3662.4616455057244</v>
      </c>
      <c r="J61" s="676">
        <f t="shared" si="8"/>
        <v>0</v>
      </c>
      <c r="K61" s="676">
        <f t="shared" si="8"/>
        <v>320.70313252666381</v>
      </c>
      <c r="L61" s="676">
        <f t="shared" si="8"/>
        <v>0</v>
      </c>
      <c r="M61" s="676">
        <f t="shared" ca="1" si="8"/>
        <v>0</v>
      </c>
      <c r="N61" s="676">
        <f t="shared" si="8"/>
        <v>0</v>
      </c>
      <c r="O61" s="676">
        <f t="shared" ca="1" si="8"/>
        <v>0</v>
      </c>
      <c r="P61" s="676">
        <f t="shared" si="8"/>
        <v>0</v>
      </c>
      <c r="Q61" s="676">
        <f t="shared" si="8"/>
        <v>0</v>
      </c>
      <c r="R61" s="676">
        <f ca="1">R46+R52+R56</f>
        <v>75943.656341027643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0.19808943782528649</v>
      </c>
      <c r="D63" s="720">
        <f t="shared" ca="1" si="9"/>
        <v>0.23764705882352952</v>
      </c>
      <c r="E63" s="932">
        <f t="shared" ca="1" si="9"/>
        <v>0.20199999999999999</v>
      </c>
      <c r="F63" s="720">
        <f t="shared" si="9"/>
        <v>0.22700000000000004</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3799.2979160042782</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1664.7149877313348</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12060</v>
      </c>
      <c r="D76" s="942">
        <f>'lokale energieproductie'!C8</f>
        <v>14188.23529411765</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2866.0235294117656</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5464.0129037356128</v>
      </c>
      <c r="C78" s="691">
        <f>SUM(C72:C77)</f>
        <v>12060</v>
      </c>
      <c r="D78" s="692">
        <f t="shared" ref="D78:H78" si="10">SUM(D76:D77)</f>
        <v>14188.23529411765</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2866.0235294117656</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17228.571428571428</v>
      </c>
      <c r="D87" s="713">
        <f>'lokale energieproductie'!C17</f>
        <v>20268.907563025215</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4094.3193277310938</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17228.571428571428</v>
      </c>
      <c r="D90" s="691">
        <f t="shared" ref="D90:H90" si="12">SUM(D87:D89)</f>
        <v>20268.907563025215</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4094.3193277310938</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24761.831429858092</v>
      </c>
      <c r="C4" s="445">
        <f>huishoudens!C8</f>
        <v>0</v>
      </c>
      <c r="D4" s="445">
        <f>huishoudens!D8</f>
        <v>69392.7423980038</v>
      </c>
      <c r="E4" s="445">
        <f>huishoudens!E8</f>
        <v>832.65267871151866</v>
      </c>
      <c r="F4" s="445">
        <f>huishoudens!F8</f>
        <v>28422.095967079724</v>
      </c>
      <c r="G4" s="445">
        <f>huishoudens!G8</f>
        <v>0</v>
      </c>
      <c r="H4" s="445">
        <f>huishoudens!H8</f>
        <v>0</v>
      </c>
      <c r="I4" s="445">
        <f>huishoudens!I8</f>
        <v>0</v>
      </c>
      <c r="J4" s="445">
        <f>huishoudens!J8</f>
        <v>639.99354300301661</v>
      </c>
      <c r="K4" s="445">
        <f>huishoudens!K8</f>
        <v>0</v>
      </c>
      <c r="L4" s="445">
        <f>huishoudens!L8</f>
        <v>0</v>
      </c>
      <c r="M4" s="445">
        <f>huishoudens!M8</f>
        <v>0</v>
      </c>
      <c r="N4" s="445">
        <f>huishoudens!N8</f>
        <v>5934.7503458507163</v>
      </c>
      <c r="O4" s="445">
        <f>huishoudens!O8</f>
        <v>84.42</v>
      </c>
      <c r="P4" s="446">
        <f>huishoudens!P8</f>
        <v>266.93333333333334</v>
      </c>
      <c r="Q4" s="447">
        <f>SUM(B4:P4)</f>
        <v>130335.41969584019</v>
      </c>
    </row>
    <row r="5" spans="1:17">
      <c r="A5" s="444" t="s">
        <v>149</v>
      </c>
      <c r="B5" s="445">
        <f ca="1">tertiair!B16</f>
        <v>12749.975831509777</v>
      </c>
      <c r="C5" s="445">
        <f ca="1">tertiair!C16</f>
        <v>0</v>
      </c>
      <c r="D5" s="445">
        <f ca="1">tertiair!D16</f>
        <v>16652.463823892329</v>
      </c>
      <c r="E5" s="445">
        <f>tertiair!E16</f>
        <v>265.58157490963333</v>
      </c>
      <c r="F5" s="445">
        <f ca="1">tertiair!F16</f>
        <v>2587.6024157293705</v>
      </c>
      <c r="G5" s="445">
        <f>tertiair!G16</f>
        <v>0</v>
      </c>
      <c r="H5" s="445">
        <f>tertiair!H16</f>
        <v>0</v>
      </c>
      <c r="I5" s="445">
        <f>tertiair!I16</f>
        <v>0</v>
      </c>
      <c r="J5" s="445">
        <f>tertiair!J16</f>
        <v>0</v>
      </c>
      <c r="K5" s="445">
        <f>tertiair!K16</f>
        <v>0</v>
      </c>
      <c r="L5" s="445">
        <f ca="1">tertiair!L16</f>
        <v>0</v>
      </c>
      <c r="M5" s="445">
        <f>tertiair!M16</f>
        <v>0</v>
      </c>
      <c r="N5" s="445">
        <f ca="1">tertiair!N16</f>
        <v>789.43662769738501</v>
      </c>
      <c r="O5" s="445">
        <f>tertiair!O16</f>
        <v>1.5633333333333335</v>
      </c>
      <c r="P5" s="446">
        <f>tertiair!P16</f>
        <v>38.133333333333333</v>
      </c>
      <c r="Q5" s="444">
        <f t="shared" ref="Q5:Q14" ca="1" si="0">SUM(B5:P5)</f>
        <v>33084.756940405154</v>
      </c>
    </row>
    <row r="6" spans="1:17">
      <c r="A6" s="444" t="s">
        <v>187</v>
      </c>
      <c r="B6" s="445">
        <f>'openbare verlichting'!B8</f>
        <v>678.28700000000003</v>
      </c>
      <c r="C6" s="445"/>
      <c r="D6" s="445"/>
      <c r="E6" s="445"/>
      <c r="F6" s="445"/>
      <c r="G6" s="445"/>
      <c r="H6" s="445"/>
      <c r="I6" s="445"/>
      <c r="J6" s="445"/>
      <c r="K6" s="445"/>
      <c r="L6" s="445"/>
      <c r="M6" s="445"/>
      <c r="N6" s="445"/>
      <c r="O6" s="445"/>
      <c r="P6" s="446"/>
      <c r="Q6" s="444">
        <f t="shared" si="0"/>
        <v>678.28700000000003</v>
      </c>
    </row>
    <row r="7" spans="1:17">
      <c r="A7" s="444" t="s">
        <v>105</v>
      </c>
      <c r="B7" s="445">
        <f>landbouw!B8</f>
        <v>2549.5028442500561</v>
      </c>
      <c r="C7" s="445">
        <f>landbouw!C8</f>
        <v>17228.571428571428</v>
      </c>
      <c r="D7" s="445">
        <f>landbouw!D8</f>
        <v>0</v>
      </c>
      <c r="E7" s="445">
        <f>landbouw!E8</f>
        <v>22.974255660672984</v>
      </c>
      <c r="F7" s="445">
        <f>landbouw!F8</f>
        <v>9553.0649146668748</v>
      </c>
      <c r="G7" s="445">
        <f>landbouw!G8</f>
        <v>0</v>
      </c>
      <c r="H7" s="445">
        <f>landbouw!H8</f>
        <v>0</v>
      </c>
      <c r="I7" s="445">
        <f>landbouw!I8</f>
        <v>0</v>
      </c>
      <c r="J7" s="445">
        <f>landbouw!J8</f>
        <v>257.99914338877733</v>
      </c>
      <c r="K7" s="445">
        <f>landbouw!K8</f>
        <v>0</v>
      </c>
      <c r="L7" s="445">
        <f>landbouw!L8</f>
        <v>0</v>
      </c>
      <c r="M7" s="445">
        <f>landbouw!M8</f>
        <v>0</v>
      </c>
      <c r="N7" s="445">
        <f>landbouw!N8</f>
        <v>0</v>
      </c>
      <c r="O7" s="445">
        <f>landbouw!O8</f>
        <v>0</v>
      </c>
      <c r="P7" s="446">
        <f>landbouw!P8</f>
        <v>0</v>
      </c>
      <c r="Q7" s="444">
        <f t="shared" si="0"/>
        <v>29612.112586537805</v>
      </c>
    </row>
    <row r="8" spans="1:17">
      <c r="A8" s="444" t="s">
        <v>613</v>
      </c>
      <c r="B8" s="445">
        <f>industrie!B18</f>
        <v>1950.1542575366493</v>
      </c>
      <c r="C8" s="445">
        <f>industrie!C18</f>
        <v>0</v>
      </c>
      <c r="D8" s="445">
        <f>industrie!D18</f>
        <v>2007.4857485151422</v>
      </c>
      <c r="E8" s="445">
        <f>industrie!E18</f>
        <v>22.902575564588904</v>
      </c>
      <c r="F8" s="445">
        <f>industrie!F18</f>
        <v>771.05694466657951</v>
      </c>
      <c r="G8" s="445">
        <f>industrie!G18</f>
        <v>0</v>
      </c>
      <c r="H8" s="445">
        <f>industrie!H18</f>
        <v>0</v>
      </c>
      <c r="I8" s="445">
        <f>industrie!I18</f>
        <v>0</v>
      </c>
      <c r="J8" s="445">
        <f>industrie!J18</f>
        <v>7.9483659434144922</v>
      </c>
      <c r="K8" s="445">
        <f>industrie!K18</f>
        <v>0</v>
      </c>
      <c r="L8" s="445">
        <f>industrie!L18</f>
        <v>0</v>
      </c>
      <c r="M8" s="445">
        <f>industrie!M18</f>
        <v>0</v>
      </c>
      <c r="N8" s="445">
        <f>industrie!N18</f>
        <v>71.859181796430448</v>
      </c>
      <c r="O8" s="445">
        <f>industrie!O18</f>
        <v>0</v>
      </c>
      <c r="P8" s="446">
        <f>industrie!P18</f>
        <v>0</v>
      </c>
      <c r="Q8" s="444">
        <f t="shared" si="0"/>
        <v>4831.4070740228053</v>
      </c>
    </row>
    <row r="9" spans="1:17" s="450" customFormat="1">
      <c r="A9" s="448" t="s">
        <v>555</v>
      </c>
      <c r="B9" s="449">
        <f>transport!B14</f>
        <v>1.3183767374448558</v>
      </c>
      <c r="C9" s="449">
        <f>transport!C14</f>
        <v>0</v>
      </c>
      <c r="D9" s="449">
        <f>transport!D14</f>
        <v>4.1418378900519537</v>
      </c>
      <c r="E9" s="449">
        <f>transport!E14</f>
        <v>473.10109219546445</v>
      </c>
      <c r="F9" s="449">
        <f>transport!F14</f>
        <v>0</v>
      </c>
      <c r="G9" s="449">
        <f>transport!G14</f>
        <v>108925.77438722151</v>
      </c>
      <c r="H9" s="449">
        <f>transport!H14</f>
        <v>14708.681307251905</v>
      </c>
      <c r="I9" s="449">
        <f>transport!I14</f>
        <v>0</v>
      </c>
      <c r="J9" s="449">
        <f>transport!J14</f>
        <v>0</v>
      </c>
      <c r="K9" s="449">
        <f>transport!K14</f>
        <v>0</v>
      </c>
      <c r="L9" s="449">
        <f>transport!L14</f>
        <v>0</v>
      </c>
      <c r="M9" s="449">
        <f>transport!M14</f>
        <v>5369.4005162405419</v>
      </c>
      <c r="N9" s="449">
        <f>transport!N14</f>
        <v>0</v>
      </c>
      <c r="O9" s="449">
        <f>transport!O14</f>
        <v>0</v>
      </c>
      <c r="P9" s="449">
        <f>transport!P14</f>
        <v>0</v>
      </c>
      <c r="Q9" s="448">
        <f>SUM(B9:P9)</f>
        <v>129482.4175175369</v>
      </c>
    </row>
    <row r="10" spans="1:17">
      <c r="A10" s="444" t="s">
        <v>545</v>
      </c>
      <c r="B10" s="445">
        <f>transport!B54</f>
        <v>6.7500653502837791</v>
      </c>
      <c r="C10" s="445">
        <f>transport!C54</f>
        <v>0</v>
      </c>
      <c r="D10" s="445">
        <f>transport!D54</f>
        <v>0</v>
      </c>
      <c r="E10" s="445">
        <f>transport!E54</f>
        <v>0</v>
      </c>
      <c r="F10" s="445">
        <f>transport!F54</f>
        <v>0</v>
      </c>
      <c r="G10" s="445">
        <f>transport!G54</f>
        <v>1464.358908044067</v>
      </c>
      <c r="H10" s="445">
        <f>transport!H54</f>
        <v>0</v>
      </c>
      <c r="I10" s="445">
        <f>transport!I54</f>
        <v>0</v>
      </c>
      <c r="J10" s="445">
        <f>transport!J54</f>
        <v>0</v>
      </c>
      <c r="K10" s="445">
        <f>transport!K54</f>
        <v>0</v>
      </c>
      <c r="L10" s="445">
        <f>transport!L54</f>
        <v>0</v>
      </c>
      <c r="M10" s="445">
        <f>transport!M54</f>
        <v>62.698223475215158</v>
      </c>
      <c r="N10" s="445">
        <f>transport!N54</f>
        <v>0</v>
      </c>
      <c r="O10" s="445">
        <f>transport!O54</f>
        <v>0</v>
      </c>
      <c r="P10" s="446">
        <f>transport!P54</f>
        <v>0</v>
      </c>
      <c r="Q10" s="444">
        <f t="shared" si="0"/>
        <v>1533.807196869566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1246.2490760092801</v>
      </c>
      <c r="C14" s="452"/>
      <c r="D14" s="452">
        <f>'SEAP template'!E25</f>
        <v>2457.58983598028</v>
      </c>
      <c r="E14" s="452"/>
      <c r="F14" s="452"/>
      <c r="G14" s="452"/>
      <c r="H14" s="452"/>
      <c r="I14" s="452"/>
      <c r="J14" s="452"/>
      <c r="K14" s="452"/>
      <c r="L14" s="452"/>
      <c r="M14" s="452"/>
      <c r="N14" s="452"/>
      <c r="O14" s="452"/>
      <c r="P14" s="453"/>
      <c r="Q14" s="444">
        <f t="shared" si="0"/>
        <v>3703.8389119895601</v>
      </c>
    </row>
    <row r="15" spans="1:17" s="457" customFormat="1">
      <c r="A15" s="454" t="s">
        <v>549</v>
      </c>
      <c r="B15" s="455">
        <f ca="1">SUM(B4:B14)</f>
        <v>43944.068881251573</v>
      </c>
      <c r="C15" s="455">
        <f t="shared" ref="C15:Q15" ca="1" si="1">SUM(C4:C14)</f>
        <v>17228.571428571428</v>
      </c>
      <c r="D15" s="455">
        <f t="shared" ca="1" si="1"/>
        <v>90514.423644281618</v>
      </c>
      <c r="E15" s="455">
        <f t="shared" si="1"/>
        <v>1617.2121770418782</v>
      </c>
      <c r="F15" s="455">
        <f t="shared" ca="1" si="1"/>
        <v>41333.820242142552</v>
      </c>
      <c r="G15" s="455">
        <f t="shared" si="1"/>
        <v>110390.13329526558</v>
      </c>
      <c r="H15" s="455">
        <f t="shared" si="1"/>
        <v>14708.681307251905</v>
      </c>
      <c r="I15" s="455">
        <f t="shared" si="1"/>
        <v>0</v>
      </c>
      <c r="J15" s="455">
        <f t="shared" si="1"/>
        <v>905.9410523352085</v>
      </c>
      <c r="K15" s="455">
        <f t="shared" si="1"/>
        <v>0</v>
      </c>
      <c r="L15" s="455">
        <f t="shared" ca="1" si="1"/>
        <v>0</v>
      </c>
      <c r="M15" s="455">
        <f t="shared" si="1"/>
        <v>5432.0987397157569</v>
      </c>
      <c r="N15" s="455">
        <f t="shared" ca="1" si="1"/>
        <v>6796.0461553445321</v>
      </c>
      <c r="O15" s="455">
        <f t="shared" si="1"/>
        <v>85.983333333333334</v>
      </c>
      <c r="P15" s="455">
        <f t="shared" si="1"/>
        <v>305.06666666666666</v>
      </c>
      <c r="Q15" s="455">
        <f t="shared" ca="1" si="1"/>
        <v>333262.04692320206</v>
      </c>
    </row>
    <row r="17" spans="1:17">
      <c r="A17" s="458" t="s">
        <v>550</v>
      </c>
      <c r="B17" s="725">
        <f ca="1">huishoudens!B10</f>
        <v>0.19808943782528654</v>
      </c>
      <c r="C17" s="725">
        <f ca="1">huishoudens!C10</f>
        <v>0.23764705882352952</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4905.0572674651003</v>
      </c>
      <c r="C22" s="445">
        <f t="shared" ref="C22:C32" ca="1" si="3">C4*$C$17</f>
        <v>0</v>
      </c>
      <c r="D22" s="445">
        <f t="shared" ref="D22:D32" si="4">D4*$D$17</f>
        <v>14017.333964396768</v>
      </c>
      <c r="E22" s="445">
        <f t="shared" ref="E22:E32" si="5">E4*$E$17</f>
        <v>189.01215806751475</v>
      </c>
      <c r="F22" s="445">
        <f t="shared" ref="F22:F32" si="6">F4*$F$17</f>
        <v>7588.6996232102865</v>
      </c>
      <c r="G22" s="445">
        <f t="shared" ref="G22:G32" si="7">G4*$G$17</f>
        <v>0</v>
      </c>
      <c r="H22" s="445">
        <f t="shared" ref="H22:H32" si="8">H4*$H$17</f>
        <v>0</v>
      </c>
      <c r="I22" s="445">
        <f t="shared" ref="I22:I32" si="9">I4*$I$17</f>
        <v>0</v>
      </c>
      <c r="J22" s="445">
        <f t="shared" ref="J22:J32" si="10">J4*$J$17</f>
        <v>226.55771422306788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26926.660727362738</v>
      </c>
    </row>
    <row r="23" spans="1:17">
      <c r="A23" s="444" t="s">
        <v>149</v>
      </c>
      <c r="B23" s="445">
        <f t="shared" ca="1" si="2"/>
        <v>2525.6355447497622</v>
      </c>
      <c r="C23" s="445">
        <f t="shared" ca="1" si="3"/>
        <v>0</v>
      </c>
      <c r="D23" s="445">
        <f t="shared" ca="1" si="4"/>
        <v>3363.7976924262507</v>
      </c>
      <c r="E23" s="445">
        <f t="shared" si="5"/>
        <v>60.287017504486769</v>
      </c>
      <c r="F23" s="445">
        <f t="shared" ca="1" si="6"/>
        <v>690.88984499974197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6640.6100996802415</v>
      </c>
    </row>
    <row r="24" spans="1:17">
      <c r="A24" s="444" t="s">
        <v>187</v>
      </c>
      <c r="B24" s="445">
        <f t="shared" ca="1" si="2"/>
        <v>134.36149051420014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134.36149051420014</v>
      </c>
    </row>
    <row r="25" spans="1:17">
      <c r="A25" s="444" t="s">
        <v>105</v>
      </c>
      <c r="B25" s="445">
        <f t="shared" ca="1" si="2"/>
        <v>505.0295851514627</v>
      </c>
      <c r="C25" s="445">
        <f t="shared" ca="1" si="3"/>
        <v>4094.3193277310938</v>
      </c>
      <c r="D25" s="445">
        <f t="shared" si="4"/>
        <v>0</v>
      </c>
      <c r="E25" s="445">
        <f t="shared" si="5"/>
        <v>5.2151560349727673</v>
      </c>
      <c r="F25" s="445">
        <f t="shared" si="6"/>
        <v>2550.6683322160557</v>
      </c>
      <c r="G25" s="445">
        <f t="shared" si="7"/>
        <v>0</v>
      </c>
      <c r="H25" s="445">
        <f t="shared" si="8"/>
        <v>0</v>
      </c>
      <c r="I25" s="445">
        <f t="shared" si="9"/>
        <v>0</v>
      </c>
      <c r="J25" s="445">
        <f t="shared" si="10"/>
        <v>91.331696759627164</v>
      </c>
      <c r="K25" s="445">
        <f t="shared" si="11"/>
        <v>0</v>
      </c>
      <c r="L25" s="445">
        <f t="shared" si="12"/>
        <v>0</v>
      </c>
      <c r="M25" s="445">
        <f t="shared" si="13"/>
        <v>0</v>
      </c>
      <c r="N25" s="445">
        <f t="shared" si="14"/>
        <v>0</v>
      </c>
      <c r="O25" s="445">
        <f t="shared" si="15"/>
        <v>0</v>
      </c>
      <c r="P25" s="446">
        <f t="shared" si="16"/>
        <v>0</v>
      </c>
      <c r="Q25" s="444">
        <f t="shared" ca="1" si="17"/>
        <v>7246.5640978932133</v>
      </c>
    </row>
    <row r="26" spans="1:17">
      <c r="A26" s="444" t="s">
        <v>613</v>
      </c>
      <c r="B26" s="445">
        <f t="shared" ca="1" si="2"/>
        <v>386.30496054802393</v>
      </c>
      <c r="C26" s="445">
        <f t="shared" ca="1" si="3"/>
        <v>0</v>
      </c>
      <c r="D26" s="445">
        <f t="shared" si="4"/>
        <v>405.51212120005874</v>
      </c>
      <c r="E26" s="445">
        <f t="shared" si="5"/>
        <v>5.1988846531616817</v>
      </c>
      <c r="F26" s="445">
        <f t="shared" si="6"/>
        <v>205.87220422597673</v>
      </c>
      <c r="G26" s="445">
        <f t="shared" si="7"/>
        <v>0</v>
      </c>
      <c r="H26" s="445">
        <f t="shared" si="8"/>
        <v>0</v>
      </c>
      <c r="I26" s="445">
        <f t="shared" si="9"/>
        <v>0</v>
      </c>
      <c r="J26" s="445">
        <f t="shared" si="10"/>
        <v>2.8137215439687302</v>
      </c>
      <c r="K26" s="445">
        <f t="shared" si="11"/>
        <v>0</v>
      </c>
      <c r="L26" s="445">
        <f t="shared" si="12"/>
        <v>0</v>
      </c>
      <c r="M26" s="445">
        <f t="shared" si="13"/>
        <v>0</v>
      </c>
      <c r="N26" s="445">
        <f t="shared" si="14"/>
        <v>0</v>
      </c>
      <c r="O26" s="445">
        <f t="shared" si="15"/>
        <v>0</v>
      </c>
      <c r="P26" s="446">
        <f t="shared" si="16"/>
        <v>0</v>
      </c>
      <c r="Q26" s="444">
        <f t="shared" ca="1" si="17"/>
        <v>1005.7018921711899</v>
      </c>
    </row>
    <row r="27" spans="1:17" s="450" customFormat="1">
      <c r="A27" s="448" t="s">
        <v>555</v>
      </c>
      <c r="B27" s="719">
        <f t="shared" ca="1" si="2"/>
        <v>0.26115650676238689</v>
      </c>
      <c r="C27" s="449">
        <f t="shared" ca="1" si="3"/>
        <v>0</v>
      </c>
      <c r="D27" s="449">
        <f t="shared" si="4"/>
        <v>0.83665125379049465</v>
      </c>
      <c r="E27" s="449">
        <f t="shared" si="5"/>
        <v>107.39394792837044</v>
      </c>
      <c r="F27" s="449">
        <f t="shared" si="6"/>
        <v>0</v>
      </c>
      <c r="G27" s="449">
        <f t="shared" si="7"/>
        <v>29083.181761388143</v>
      </c>
      <c r="H27" s="449">
        <f t="shared" si="8"/>
        <v>3662.4616455057244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32854.135162582788</v>
      </c>
    </row>
    <row r="28" spans="1:17">
      <c r="A28" s="444" t="s">
        <v>545</v>
      </c>
      <c r="B28" s="445">
        <f t="shared" ca="1" si="2"/>
        <v>1.3371166505216596</v>
      </c>
      <c r="C28" s="445">
        <f t="shared" ca="1" si="3"/>
        <v>0</v>
      </c>
      <c r="D28" s="445">
        <f t="shared" si="4"/>
        <v>0</v>
      </c>
      <c r="E28" s="445">
        <f t="shared" si="5"/>
        <v>0</v>
      </c>
      <c r="F28" s="445">
        <f t="shared" si="6"/>
        <v>0</v>
      </c>
      <c r="G28" s="445">
        <f t="shared" si="7"/>
        <v>390.98382844776592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392.32094509828755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246.86877885696109</v>
      </c>
      <c r="C32" s="445">
        <f t="shared" ca="1" si="3"/>
        <v>0</v>
      </c>
      <c r="D32" s="445">
        <f t="shared" si="4"/>
        <v>496.43314686801659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743.30192572497765</v>
      </c>
    </row>
    <row r="33" spans="1:17" s="457" customFormat="1">
      <c r="A33" s="454" t="s">
        <v>549</v>
      </c>
      <c r="B33" s="455">
        <f ca="1">SUM(B22:B32)</f>
        <v>8704.8559004427934</v>
      </c>
      <c r="C33" s="455">
        <f t="shared" ref="C33:Q33" ca="1" si="19">SUM(C22:C32)</f>
        <v>4094.3193277310938</v>
      </c>
      <c r="D33" s="455">
        <f t="shared" ca="1" si="19"/>
        <v>18283.913576144885</v>
      </c>
      <c r="E33" s="455">
        <f t="shared" si="19"/>
        <v>367.10716418850637</v>
      </c>
      <c r="F33" s="455">
        <f t="shared" ca="1" si="19"/>
        <v>11036.130004652059</v>
      </c>
      <c r="G33" s="455">
        <f t="shared" si="19"/>
        <v>29474.165589835909</v>
      </c>
      <c r="H33" s="455">
        <f t="shared" si="19"/>
        <v>3662.4616455057244</v>
      </c>
      <c r="I33" s="455">
        <f t="shared" si="19"/>
        <v>0</v>
      </c>
      <c r="J33" s="455">
        <f t="shared" si="19"/>
        <v>320.70313252666375</v>
      </c>
      <c r="K33" s="455">
        <f t="shared" si="19"/>
        <v>0</v>
      </c>
      <c r="L33" s="455">
        <f t="shared" ca="1" si="19"/>
        <v>0</v>
      </c>
      <c r="M33" s="455">
        <f t="shared" si="19"/>
        <v>0</v>
      </c>
      <c r="N33" s="455">
        <f t="shared" ca="1" si="19"/>
        <v>0</v>
      </c>
      <c r="O33" s="455">
        <f t="shared" si="19"/>
        <v>0</v>
      </c>
      <c r="P33" s="455">
        <f t="shared" si="19"/>
        <v>0</v>
      </c>
      <c r="Q33" s="455">
        <f t="shared" ca="1" si="19"/>
        <v>75943.656341027643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3799.2979160042782</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1664.7149877313348</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12060</v>
      </c>
      <c r="D8" s="963">
        <f>'SEAP template'!D76</f>
        <v>14188.23529411765</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2866.0235294117656</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5464.0129037356128</v>
      </c>
      <c r="C10" s="967">
        <f>SUM(C4:C9)</f>
        <v>12060</v>
      </c>
      <c r="D10" s="967">
        <f t="shared" ref="D10:H10" si="0">SUM(D8:D9)</f>
        <v>14188.23529411765</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2866.0235294117656</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0.19808943782528654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17228.571428571428</v>
      </c>
      <c r="D17" s="964">
        <f>'SEAP template'!D87</f>
        <v>20268.907563025215</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4094.3193277310938</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17228.571428571428</v>
      </c>
      <c r="D20" s="967">
        <f t="shared" ref="D20:H20" si="2">SUM(D17:D19)</f>
        <v>20268.907563025215</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4094.3193277310938</v>
      </c>
    </row>
    <row r="22" spans="1:16">
      <c r="A22" s="458" t="s">
        <v>885</v>
      </c>
      <c r="B22" s="725" t="s">
        <v>879</v>
      </c>
      <c r="C22" s="725">
        <f ca="1">'EF ele_warmte'!B22</f>
        <v>0.23764705882352952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0.19808943782528654</v>
      </c>
      <c r="C17" s="494">
        <f ca="1">'EF ele_warmte'!B22</f>
        <v>0.23764705882352952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2022-07-26T12:47:13Z</dcterms:modified>
</cp:coreProperties>
</file>