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E5BADA0-C612-4D45-8915-9F56E566CD2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<sst xmlns="http://schemas.openxmlformats.org/spreadsheetml/2006/main" count="2518" uniqueCount="964">
  <si>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</si>
  <si>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</si>
  <si>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</si>
  <si>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</si>
  <si>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</si>
  <si>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</si>
  <si>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</si>
  <si>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</si>
  <si>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</si>
  <si>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</si>
  <si>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</si>
  <si>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</si>
  <si>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</si>
  <si>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</si>
  <si>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</si>
  <si>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</si>
  <si>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</si>
  <si>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</si>
  <si>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</si>
  <si>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</si>
  <si>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</si>
  <si>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</si>
  <si>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</si>
  <si>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</si>
  <si>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</si>
  <si>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</si>
  <si>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</si>
  <si>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</si>
  <si>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</si>
  <si>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</si>
  <si>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</si>
  <si>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</si>
  <si>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</si>
  <si>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</si>
  <si>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</si>
  <si>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</si>
  <si>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</si>
  <si>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</si>
  <si>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</si>
  <si>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</si>
  <si>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</si>
  <si>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</si>
  <si>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</si>
  <si>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</si>
  <si>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</si>
  <si>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</si>
  <si>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</si>
  <si>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</si>
  <si>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</si>
  <si>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</si>
  <si>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</si>
  <si>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</si>
  <si>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</si>
  <si>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</si>
  <si>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</si>
  <si>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</si>
  <si>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</si>
  <si>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</si>
  <si>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</si>
  <si>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</si>
  <si>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</si>
  <si>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</si>
  <si>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</si>
  <si>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</si>
  <si>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</si>
  <si>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</si>
  <si>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</si>
  <si>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</si>
  <si>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</si>
  <si>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</si>
  <si>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</si>
  <si>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</si>
  <si>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</si>
  <si>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</si>
  <si>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</si>
  <si>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</si>
  <si>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</si>
  <si>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</si>
  <si>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</si>
  <si>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</si>
  <si>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</si>
  <si>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</si>
  <si>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</si>
  <si>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</si>
  <si>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</si>
  <si>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</si>
  <si>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</si>
  <si>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</si>
  <si>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</si>
  <si>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</si>
  <si>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</si>
  <si>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</si>
  <si>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</si>
  <si>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</si>
  <si>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</si>
  <si>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</si>
  <si>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</si>
  <si>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</si>
  <si>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</si>
  <si>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</si>
  <si>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</si>
  <si>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</si>
  <si>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</si>
  <si>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</si>
  <si>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</si>
  <si>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</si>
  <si>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</si>
  <si>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</si>
  <si>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</si>
  <si>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</si>
  <si>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</si>
  <si>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</si>
  <si>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</si>
  <si>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</si>
  <si>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</si>
  <si>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</si>
  <si>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</si>
  <si>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</si>
  <si>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</si>
  <si>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</si>
  <si>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</si>
  <si>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</si>
  <si>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</si>
  <si>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</si>
  <si>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</si>
  <si>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</si>
  <si>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</si>
  <si>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</si>
  <si>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</si>
  <si>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</si>
  <si>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</si>
  <si>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</si>
  <si>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</si>
  <si>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</si>
  <si>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</si>
  <si>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</si>
  <si>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</si>
  <si>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</si>
  <si>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</si>
  <si>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</si>
  <si>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</si>
  <si>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</si>
  <si>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</si>
  <si>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</si>
  <si>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</si>
  <si>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</si>
  <si>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</si>
  <si>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</si>
  <si>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</si>
  <si>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</si>
  <si>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</si>
  <si>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</si>
  <si>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</si>
  <si>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</si>
  <si>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</si>
  <si>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</si>
  <si>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</si>
  <si>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</si>
  <si>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</si>
  <si>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</si>
  <si>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</si>
  <si>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</si>
  <si>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</si>
  <si>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</si>
  <si>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</si>
  <si>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</si>
  <si>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</si>
  <si>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</si>
  <si>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</si>
  <si>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</si>
  <si>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</si>
  <si>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</si>
  <si>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</si>
  <si>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</si>
  <si>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</si>
  <si>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</si>
  <si>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</si>
  <si>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</si>
  <si>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</si>
  <si>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</si>
  <si>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</si>
  <si>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</si>
  <si>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</si>
  <si>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</si>
  <si>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</si>
  <si>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</si>
  <si>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</si>
  <si>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</si>
  <si>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</si>
  <si>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</si>
  <si>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</si>
  <si>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</si>
  <si>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</si>
  <si>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</si>
  <si>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</si>
  <si>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</si>
  <si>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</si>
  <si>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</si>
  <si>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</si>
  <si>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</si>
  <si>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</si>
  <si>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</si>
  <si>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</si>
  <si>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</si>
  <si>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</si>
  <si>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</si>
  <si>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</si>
  <si>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</si>
  <si>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</si>
  <si>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</si>
  <si>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</si>
  <si>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</si>
  <si>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</si>
  <si>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</si>
  <si>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</si>
  <si>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</si>
  <si>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</si>
  <si>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</si>
  <si>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</si>
  <si>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</si>
  <si>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</si>
  <si>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</si>
  <si>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</si>
  <si>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</si>
  <si>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</si>
  <si>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</si>
  <si>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</si>
  <si>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</si>
  <si>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</si>
  <si>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</si>
  <si>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</si>
  <si>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</si>
  <si>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</si>
  <si>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</si>
  <si>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</si>
  <si>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</si>
  <si>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</si>
  <si>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</si>
  <si>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</si>
  <si>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</si>
  <si>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</si>
  <si>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</si>
  <si>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</si>
  <si>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</si>
  <si>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</si>
  <si>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</si>
  <si>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</si>
  <si>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</si>
  <si>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</si>
  <si>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</si>
  <si>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</si>
  <si>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</si>
  <si>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</si>
  <si>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</si>
  <si>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</si>
  <si>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</si>
  <si>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</si>
  <si>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</si>
  <si>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</si>
  <si>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</si>
  <si>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</si>
  <si>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</si>
  <si>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</si>
  <si>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</si>
  <si>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</si>
  <si>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</si>
  <si>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</si>
  <si>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</si>
  <si>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</si>
  <si>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</si>
  <si>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</si>
  <si>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</si>
  <si>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</si>
  <si>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</si>
  <si>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</si>
  <si>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</si>
  <si>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</si>
  <si>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</si>
  <si>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</si>
  <si>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</si>
  <si>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</si>
  <si>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</si>
  <si>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</si>
  <si>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</si>
  <si>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</si>
  <si>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</si>
  <si>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</si>
  <si>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</si>
  <si>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</si>
  <si>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</si>
  <si>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</si>
  <si>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</si>
  <si>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</si>
  <si>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</si>
  <si>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</si>
  <si>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</si>
  <si>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</si>
  <si>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</si>
  <si>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</si>
  <si>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</si>
  <si>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</si>
  <si>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</si>
  <si>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</si>
  <si>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</si>
  <si>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</si>
  <si>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</si>
  <si>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</si>
  <si>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</si>
  <si>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</si>
  <si>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</si>
  <si>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</si>
  <si>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</si>
  <si>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</si>
  <si>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</si>
  <si>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</si>
  <si>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</si>
  <si>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</si>
  <si>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</si>
  <si>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</si>
  <si>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</si>
  <si>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</si>
  <si>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</si>
  <si>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</si>
  <si>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</si>
  <si>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</si>
  <si>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</si>
  <si>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</si>
  <si>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</si>
  <si>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</si>
  <si>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</si>
  <si>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</si>
  <si>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</si>
  <si>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</si>
  <si>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</si>
  <si>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</si>
  <si>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</si>
  <si>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</si>
  <si>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</si>
  <si>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</si>
  <si>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</si>
  <si>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</si>
  <si>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</si>
  <si>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</si>
  <si>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</si>
  <si>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</si>
  <si>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</si>
  <si>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</si>
  <si>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</si>
  <si>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</si>
  <si>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</si>
  <si>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</si>
  <si>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</si>
  <si>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</si>
  <si>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</si>
  <si>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</si>
  <si>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</si>
  <si>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</si>
  <si>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</si>
  <si>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</si>
  <si>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</si>
  <si>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</si>
  <si>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</si>
  <si>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</si>
  <si>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</si>
  <si>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</si>
  <si>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</si>
  <si>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</si>
  <si>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</si>
  <si>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</si>
  <si>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</si>
  <si>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</si>
  <si>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</si>
  <si>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</si>
  <si>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</si>
  <si>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</si>
  <si>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</si>
  <si>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</si>
  <si>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</si>
  <si>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</si>
  <si>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</si>
  <si>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</si>
  <si>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</si>
  <si>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</si>
  <si>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</si>
  <si>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</si>
  <si>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</si>
  <si>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</si>
  <si>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</si>
  <si>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</si>
  <si>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</si>
  <si>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</si>
  <si>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</si>
  <si>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</si>
  <si>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</si>
  <si>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</si>
  <si>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</si>
  <si>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</si>
  <si>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</si>
  <si>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</si>
  <si>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</si>
  <si>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</si>
  <si>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</si>
  <si>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</si>
  <si>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</si>
  <si>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</si>
  <si>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</si>
  <si>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</si>
  <si>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</si>
  <si>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</si>
  <si>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</si>
  <si>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</si>
  <si>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</si>
  <si>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</si>
  <si>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</si>
  <si>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</si>
  <si>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</si>
  <si>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</si>
  <si>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</si>
  <si>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</si>
  <si>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</si>
  <si>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</si>
  <si>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</si>
  <si>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</si>
  <si>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</si>
  <si>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</si>
  <si>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</si>
  <si>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</si>
  <si>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</si>
  <si>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</si>
  <si>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</si>
  <si>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</si>
  <si>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</si>
  <si>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</si>
  <si>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</si>
  <si>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</si>
  <si>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</si>
  <si>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</si>
  <si>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</si>
  <si>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</si>
  <si>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</si>
  <si>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</si>
  <si>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</si>
  <si>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</si>
  <si>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</si>
  <si>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</si>
  <si>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</si>
  <si>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</si>
  <si>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</si>
  <si>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</si>
  <si>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</si>
  <si>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</si>
  <si>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</si>
  <si>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</si>
  <si>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</si>
  <si>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</si>
  <si>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</si>
  <si>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</si>
  <si>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</si>
  <si>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</si>
  <si>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</si>
  <si>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</si>
  <si>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</si>
  <si>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</si>
  <si>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</si>
  <si>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</si>
  <si>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</si>
  <si>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</si>
  <si>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</si>
  <si>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</si>
  <si>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</si>
  <si>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</si>
  <si>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</si>
  <si>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</si>
  <si>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</si>
  <si>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</si>
  <si>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</si>
  <si>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</si>
  <si>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</si>
  <si>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</si>
  <si>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</si>
  <si>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</si>
  <si>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</si>
  <si>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</si>
  <si>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</si>
  <si>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</si>
  <si>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</si>
  <si>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</si>
  <si>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</si>
  <si>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</si>
  <si>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</si>
  <si>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</si>
  <si>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</si>
  <si>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</si>
  <si>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</si>
  <si>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</si>
  <si>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</si>
  <si>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</si>
  <si>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</si>
  <si>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</si>
  <si>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</si>
  <si>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</si>
  <si>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</si>
  <si>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</si>
  <si>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</si>
  <si>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</si>
  <si>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</si>
  <si>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</si>
  <si>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</si>
  <si>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</si>
  <si>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</si>
  <si>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</si>
  <si>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</si>
  <si>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</si>
  <si>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</si>
  <si>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</si>
  <si>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</si>
  <si>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</si>
  <si>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</si>
  <si>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</si>
  <si>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</si>
  <si>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</si>
  <si>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</si>
  <si>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</si>
  <si>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</si>
  <si>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</si>
  <si>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</si>
  <si>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</si>
  <si>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</si>
  <si>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</si>
  <si>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</si>
  <si>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</si>
  <si>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</si>
  <si>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</si>
  <si>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</si>
  <si>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</si>
  <si>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</si>
  <si>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</si>
  <si>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</si>
  <si>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</si>
  <si>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</si>
  <si>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</si>
  <si>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</si>
  <si>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</si>
  <si>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</si>
  <si>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</si>
  <si>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</si>
  <si>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</si>
  <si>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</si>
  <si>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</si>
  <si>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</si>
  <si>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</si>
  <si>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</si>
  <si>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</si>
  <si>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</si>
  <si>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</si>
  <si>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</si>
  <si>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</si>
  <si>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</si>
  <si>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</si>
  <si>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</si>
  <si>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</si>
  <si>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</si>
  <si>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</si>
  <si>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</si>
  <si>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</si>
  <si>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</si>
  <si>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</si>
  <si>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</si>
  <si>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</si>
  <si>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</si>
  <si>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</si>
  <si>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</si>
  <si>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</si>
  <si>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</si>
  <si>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</si>
  <si>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</si>
  <si>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</si>
  <si>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</si>
  <si>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</si>
  <si>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</si>
  <si>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</si>
  <si>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</si>
  <si>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</si>
  <si>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</si>
  <si>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</si>
  <si>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</si>
  <si>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</si>
  <si>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</si>
  <si>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</si>
  <si>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</si>
  <si>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</si>
  <si>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</si>
  <si>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</si>
  <si>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</si>
  <si>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</si>
  <si>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</si>
  <si>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</si>
  <si>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</si>
  <si>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</si>
  <si>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</si>
  <si>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</si>
  <si>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</si>
  <si>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</si>
  <si>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</si>
  <si>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</si>
  <si>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</si>
  <si>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</si>
  <si>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</si>
  <si>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</si>
  <si>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</si>
  <si>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</si>
  <si>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</si>
  <si>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</si>
  <si>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</si>
  <si>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</si>
  <si>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</si>
  <si>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</si>
  <si>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</si>
  <si>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</si>
  <si>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</si>
  <si>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</si>
  <si>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</si>
  <si>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</si>
  <si>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</si>
  <si>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</si>
  <si>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</si>
  <si>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</si>
  <si>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</si>
  <si>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</si>
  <si>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</si>
  <si>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</si>
  <si>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</si>
  <si>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</si>
  <si>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</si>
  <si>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</si>
  <si>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</si>
  <si>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</si>
  <si>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</si>
  <si>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</si>
  <si>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</si>
  <si>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</si>
  <si>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</si>
  <si>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</si>
  <si>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</si>
  <si>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</si>
  <si>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</si>
  <si>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</si>
  <si>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</si>
  <si>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</si>
  <si>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</si>
  <si>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</si>
  <si>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</si>
  <si>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</si>
  <si>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</si>
  <si>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</si>
  <si>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</si>
  <si>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</si>
  <si>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</si>
  <si>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</si>
  <si>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</si>
  <si>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</si>
  <si>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</si>
  <si>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</si>
  <si>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</si>
  <si>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</si>
  <si>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</si>
  <si>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</si>
  <si>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</si>
  <si>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</si>
  <si>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</si>
  <si>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</si>
  <si>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</si>
  <si>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</si>
  <si>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</si>
  <si>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</si>
  <si>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</si>
  <si>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</si>
  <si>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</si>
  <si>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</si>
  <si>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</si>
  <si>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</si>
  <si>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</si>
  <si>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</si>
  <si>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</si>
  <si>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</si>
  <si>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</si>
  <si>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</si>
  <si>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</si>
  <si>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</si>
  <si>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</si>
  <si>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</si>
  <si>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</si>
  <si>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</si>
  <si>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</si>
  <si>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</si>
  <si>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</si>
  <si>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</si>
  <si>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</si>
  <si>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</si>
  <si>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</si>
  <si>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</si>
  <si>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</si>
  <si>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</si>
  <si>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</si>
  <si>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</si>
  <si>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</si>
  <si>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</si>
  <si>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</si>
  <si>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</si>
  <si>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</si>
  <si>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</si>
  <si>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</si>
  <si>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</si>
  <si>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</si>
  <si>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</si>
  <si>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</si>
  <si>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</si>
  <si>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</si>
  <si>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</si>
  <si>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</si>
  <si>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</si>
  <si>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</si>
  <si>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</si>
  <si>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</si>
  <si>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</si>
  <si>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</si>
  <si>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</si>
  <si>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</si>
  <si>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</si>
  <si>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</si>
  <si>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</si>
  <si>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</si>
  <si>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</si>
  <si>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</si>
  <si>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</si>
  <si>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</si>
  <si>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</si>
  <si>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</si>
  <si>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</si>
  <si>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</si>
  <si>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</si>
  <si>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</si>
  <si>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</si>
  <si>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</si>
  <si>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</si>
  <si>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</si>
  <si>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</si>
  <si>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</si>
  <si>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</si>
  <si>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</si>
  <si>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</si>
  <si>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</si>
  <si>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</si>
  <si>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</si>
  <si>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</si>
  <si>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</si>
  <si>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</si>
  <si>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</si>
  <si>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</si>
  <si>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</si>
  <si>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</si>
  <si>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</si>
  <si>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</si>
  <si>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</si>
  <si>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</si>
  <si>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</si>
  <si>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</si>
  <si>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</si>
  <si>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</si>
  <si>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</si>
  <si>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</si>
  <si>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</si>
  <si>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</si>
  <si>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</si>
  <si>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</si>
  <si>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</si>
  <si>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</si>
  <si>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</si>
  <si>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</si>
  <si>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</si>
  <si>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</si>
  <si>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</si>
  <si>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</si>
  <si>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</si>
  <si>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</si>
  <si>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</si>
  <si>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</si>
  <si>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</si>
  <si>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</si>
  <si>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</si>
  <si>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</si>
  <si>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</si>
  <si>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</si>
  <si>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</si>
  <si>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</si>
  <si>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</si>
  <si>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</si>
  <si>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</si>
  <si>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</si>
  <si>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</si>
  <si>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</si>
  <si>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</si>
  <si>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</si>
  <si>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</si>
  <si>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</si>
  <si>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</si>
  <si>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</si>
  <si>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</si>
  <si>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</si>
  <si>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</si>
  <si>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</si>
  <si>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</si>
  <si>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</si>
  <si>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</si>
  <si>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</si>
  <si>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</si>
  <si>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</si>
  <si>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</si>
  <si>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</si>
  <si>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</si>
  <si>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</si>
  <si>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</si>
  <si>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</si>
  <si>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</si>
  <si>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</si>
  <si>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</si>
  <si>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</si>
  <si>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</si>
  <si>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</si>
  <si>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</si>
  <si>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</si>
  <si>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</si>
  <si>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</si>
  <si>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</si>
  <si>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</si>
  <si>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</si>
  <si>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</si>
  <si>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</si>
  <si>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</si>
  <si>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</si>
  <si>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</si>
  <si>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</si>
  <si>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</si>
  <si>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</si>
  <si>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</si>
  <si>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</si>
  <si>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</si>
  <si>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</si>
  <si>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</si>
  <si>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</si>
  <si>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</si>
  <si>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</si>
  <si>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</si>
  <si>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</si>
  <si>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</si>
  <si>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</si>
  <si>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</si>
  <si>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</si>
  <si>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</si>
  <si>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</si>
  <si>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</si>
  <si>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</si>
  <si>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</si>
  <si>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</si>
  <si>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</si>
  <si>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</si>
  <si>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</si>
  <si>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</si>
  <si>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</si>
  <si>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</si>
  <si>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</si>
  <si>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</si>
  <si>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</si>
  <si>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</si>
  <si>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</si>
  <si>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</si>
  <si>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</si>
  <si>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</si>
  <si>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</si>
  <si>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</si>
  <si>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</si>
  <si>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</si>
  <si>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</si>
  <si>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</si>
  <si>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</si>
  <si>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</si>
  <si>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</si>
  <si>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</si>
  <si>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</si>
  <si>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</si>
  <si>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</si>
  <si>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</si>
  <si>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</si>
  <si>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</si>
  <si>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</si>
  <si>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</si>
  <si>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</si>
  <si>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</si>
  <si>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</si>
  <si>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</si>
  <si>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</si>
  <si>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</si>
  <si>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</si>
  <si>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</si>
  <si>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</si>
  <si>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</si>
  <si>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</si>
  <si>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</si>
  <si>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</si>
  <si>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</si>
  <si>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</si>
  <si>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</si>
  <si>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</si>
  <si>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</si>
  <si>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</si>
  <si>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</si>
  <si>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</si>
  <si>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</si>
  <si>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</si>
  <si>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</si>
  <si>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</si>
  <si>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</si>
  <si>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</si>
  <si>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</si>
  <si>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</si>
  <si>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</si>
  <si>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</si>
  <si>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</si>
  <si>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</si>
  <si>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</si>
  <si>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</si>
  <si>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</si>
  <si>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</si>
  <si>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</si>
  <si>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</si>
  <si>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</si>
  <si>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</si>
  <si>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</si>
  <si>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</si>
  <si>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</si>
  <si>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</si>
  <si>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</si>
  <si>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</si>
  <si>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</si>
  <si>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</si>
  <si>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</si>
  <si>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</si>
  <si>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</si>
  <si>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</si>
  <si>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</si>
  <si>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</si>
  <si>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</si>
  <si>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</si>
  <si>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</si>
  <si>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</si>
  <si>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</si>
  <si>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</si>
  <si>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12026</t>
  </si>
  <si>
    <t>NIJLEN</t>
  </si>
  <si>
    <t>Paarden&amp;pony's 200 - 600 kg</t>
  </si>
  <si>
    <t>Paarden&amp;pony's &lt; 200 kg</t>
  </si>
  <si>
    <t>vloeibaar gas (MWh)</t>
  </si>
  <si>
    <t>stirlingmotor</t>
  </si>
  <si>
    <t>IVEG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</si>
</sst>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820CB0C-D3E0-4187-9BD6-ACBEE1CF5456}"/>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12026</v>
      </c>
      <c r="B6" s="382"/>
      <c r="C6" s="383"/>
    </row>
    <row r="7" spans="1:7" s="380" customFormat="1" ht="15.75" customHeight="1">
      <c r="A7" s="384" t="str">
        <f>txtMunicipality</f>
        <v>NIJLEN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0.21277835424151514</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0.21277835424151514</v>
      </c>
      <c r="C29" s="495">
        <f ca="1">'EF ele_warmte'!B22</f>
        <v>0.22444444444444447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8840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1443</v>
      </c>
      <c r="C14" s="324"/>
      <c r="D14" s="324"/>
      <c r="E14" s="324"/>
      <c r="F14" s="324"/>
    </row>
    <row r="15" spans="1:6">
      <c r="A15" s="1235" t="s">
        <v>177</v>
      </c>
      <c r="B15" s="1236">
        <v>13</v>
      </c>
      <c r="C15" s="324"/>
      <c r="D15" s="324"/>
      <c r="E15" s="324"/>
      <c r="F15" s="324"/>
    </row>
    <row r="16" spans="1:6">
      <c r="A16" s="1235" t="s">
        <v>6</v>
      </c>
      <c r="B16" s="1236">
        <v>846</v>
      </c>
      <c r="C16" s="324"/>
      <c r="D16" s="324"/>
      <c r="E16" s="324"/>
      <c r="F16" s="324"/>
    </row>
    <row r="17" spans="1:6">
      <c r="A17" s="1235" t="s">
        <v>7</v>
      </c>
      <c r="B17" s="1236">
        <v>44</v>
      </c>
      <c r="C17" s="324"/>
      <c r="D17" s="324"/>
      <c r="E17" s="324"/>
      <c r="F17" s="324"/>
    </row>
    <row r="18" spans="1:6">
      <c r="A18" s="1235" t="s">
        <v>8</v>
      </c>
      <c r="B18" s="1236">
        <v>487</v>
      </c>
      <c r="C18" s="324"/>
      <c r="D18" s="324"/>
      <c r="E18" s="324"/>
      <c r="F18" s="324"/>
    </row>
    <row r="19" spans="1:6">
      <c r="A19" s="1235" t="s">
        <v>9</v>
      </c>
      <c r="B19" s="1236">
        <v>370</v>
      </c>
      <c r="C19" s="324"/>
      <c r="D19" s="324"/>
      <c r="E19" s="324"/>
      <c r="F19" s="324"/>
    </row>
    <row r="20" spans="1:6">
      <c r="A20" s="1235" t="s">
        <v>10</v>
      </c>
      <c r="B20" s="1236">
        <v>303</v>
      </c>
      <c r="C20" s="324"/>
      <c r="D20" s="324"/>
      <c r="E20" s="324"/>
      <c r="F20" s="324"/>
    </row>
    <row r="21" spans="1:6">
      <c r="A21" s="1235" t="s">
        <v>11</v>
      </c>
      <c r="B21" s="1236">
        <v>163</v>
      </c>
      <c r="C21" s="324"/>
      <c r="D21" s="324"/>
      <c r="E21" s="324"/>
      <c r="F21" s="324"/>
    </row>
    <row r="22" spans="1:6">
      <c r="A22" s="1235" t="s">
        <v>12</v>
      </c>
      <c r="B22" s="1236">
        <v>966</v>
      </c>
      <c r="C22" s="324"/>
      <c r="D22" s="324"/>
      <c r="E22" s="324"/>
      <c r="F22" s="324"/>
    </row>
    <row r="23" spans="1:6">
      <c r="A23" s="1235" t="s">
        <v>13</v>
      </c>
      <c r="B23" s="1236">
        <v>12</v>
      </c>
      <c r="C23" s="324"/>
      <c r="D23" s="324"/>
      <c r="E23" s="324"/>
      <c r="F23" s="324"/>
    </row>
    <row r="24" spans="1:6">
      <c r="A24" s="1235" t="s">
        <v>14</v>
      </c>
      <c r="B24" s="1236">
        <v>60</v>
      </c>
      <c r="C24" s="324"/>
      <c r="D24" s="324"/>
      <c r="E24" s="324"/>
      <c r="F24" s="324"/>
    </row>
    <row r="25" spans="1:6">
      <c r="A25" s="1235" t="s">
        <v>15</v>
      </c>
      <c r="B25" s="1236">
        <v>60</v>
      </c>
      <c r="C25" s="324"/>
      <c r="D25" s="324"/>
      <c r="E25" s="324"/>
      <c r="F25" s="324"/>
    </row>
    <row r="26" spans="1:6">
      <c r="A26" s="1235" t="s">
        <v>16</v>
      </c>
      <c r="B26" s="1236">
        <v>302</v>
      </c>
      <c r="C26" s="324"/>
      <c r="D26" s="324"/>
      <c r="E26" s="324"/>
      <c r="F26" s="324"/>
    </row>
    <row r="27" spans="1:6">
      <c r="A27" s="1235" t="s">
        <v>17</v>
      </c>
      <c r="B27" s="1236">
        <v>3</v>
      </c>
      <c r="C27" s="324"/>
      <c r="D27" s="324"/>
      <c r="E27" s="324"/>
      <c r="F27" s="324"/>
    </row>
    <row r="28" spans="1:6">
      <c r="A28" s="1235" t="s">
        <v>18</v>
      </c>
      <c r="B28" s="1237">
        <v>26149</v>
      </c>
      <c r="C28" s="324"/>
      <c r="D28" s="324"/>
      <c r="E28" s="324"/>
      <c r="F28" s="324"/>
    </row>
    <row r="29" spans="1:6">
      <c r="A29" s="1235" t="s">
        <v>959</v>
      </c>
      <c r="B29" s="1237">
        <v>125</v>
      </c>
      <c r="C29" s="324"/>
      <c r="D29" s="324"/>
      <c r="E29" s="324"/>
      <c r="F29" s="324"/>
    </row>
    <row r="30" spans="1:6">
      <c r="A30" s="1230" t="s">
        <v>960</v>
      </c>
      <c r="B30" s="1238">
        <v>19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12585</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7385</v>
      </c>
      <c r="D39" s="1236">
        <v>146777869</v>
      </c>
      <c r="E39" s="1236">
        <v>9222</v>
      </c>
      <c r="F39" s="1236">
        <v>37904330</v>
      </c>
    </row>
    <row r="40" spans="1:6">
      <c r="A40" s="1235" t="s">
        <v>29</v>
      </c>
      <c r="B40" s="1235" t="s">
        <v>28</v>
      </c>
      <c r="C40" s="1236">
        <v>0</v>
      </c>
      <c r="D40" s="1236">
        <v>0</v>
      </c>
      <c r="E40" s="1236">
        <v>0</v>
      </c>
      <c r="F40" s="1236">
        <v>0</v>
      </c>
    </row>
    <row r="41" spans="1:6">
      <c r="A41" s="1235" t="s">
        <v>31</v>
      </c>
      <c r="B41" s="1235" t="s">
        <v>32</v>
      </c>
      <c r="C41" s="1236">
        <v>52</v>
      </c>
      <c r="D41" s="1236">
        <v>15837682</v>
      </c>
      <c r="E41" s="1236">
        <v>122</v>
      </c>
      <c r="F41" s="1236">
        <v>1484651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11</v>
      </c>
      <c r="F44" s="1236">
        <v>3580549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5</v>
      </c>
      <c r="D48" s="1236">
        <v>87442</v>
      </c>
      <c r="E48" s="1236">
        <v>3</v>
      </c>
      <c r="F48" s="1236">
        <v>707267</v>
      </c>
    </row>
    <row r="49" spans="1:6">
      <c r="A49" s="1235" t="s">
        <v>31</v>
      </c>
      <c r="B49" s="1235" t="s">
        <v>39</v>
      </c>
      <c r="C49" s="1236">
        <v>0</v>
      </c>
      <c r="D49" s="1236">
        <v>0</v>
      </c>
      <c r="E49" s="1236">
        <v>4</v>
      </c>
      <c r="F49" s="1236">
        <v>17388</v>
      </c>
    </row>
    <row r="50" spans="1:6">
      <c r="A50" s="1235" t="s">
        <v>31</v>
      </c>
      <c r="B50" s="1235" t="s">
        <v>40</v>
      </c>
      <c r="C50" s="1236">
        <v>9</v>
      </c>
      <c r="D50" s="1236">
        <v>1033966</v>
      </c>
      <c r="E50" s="1236">
        <v>11</v>
      </c>
      <c r="F50" s="1236">
        <v>1107857</v>
      </c>
    </row>
    <row r="51" spans="1:6">
      <c r="A51" s="1235" t="s">
        <v>41</v>
      </c>
      <c r="B51" s="1235" t="s">
        <v>42</v>
      </c>
      <c r="C51" s="1236">
        <v>7</v>
      </c>
      <c r="D51" s="1236">
        <v>216502</v>
      </c>
      <c r="E51" s="1236">
        <v>39</v>
      </c>
      <c r="F51" s="1236">
        <v>577375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18</v>
      </c>
      <c r="F54" s="1236">
        <v>1158620</v>
      </c>
    </row>
    <row r="55" spans="1:6">
      <c r="A55" s="1235" t="s">
        <v>45</v>
      </c>
      <c r="B55" s="1235" t="s">
        <v>28</v>
      </c>
      <c r="C55" s="1236">
        <v>0</v>
      </c>
      <c r="D55" s="1236">
        <v>0</v>
      </c>
      <c r="E55" s="1236">
        <v>0</v>
      </c>
      <c r="F55" s="1236">
        <v>0</v>
      </c>
    </row>
    <row r="56" spans="1:6">
      <c r="A56" s="1235" t="s">
        <v>47</v>
      </c>
      <c r="B56" s="1235" t="s">
        <v>28</v>
      </c>
      <c r="C56" s="1236">
        <v>48</v>
      </c>
      <c r="D56" s="1236">
        <v>2241619</v>
      </c>
      <c r="E56" s="1236">
        <v>159</v>
      </c>
      <c r="F56" s="1236">
        <v>1581848</v>
      </c>
    </row>
    <row r="57" spans="1:6">
      <c r="A57" s="1235" t="s">
        <v>48</v>
      </c>
      <c r="B57" s="1235" t="s">
        <v>49</v>
      </c>
      <c r="C57" s="1236">
        <v>33</v>
      </c>
      <c r="D57" s="1236">
        <v>1717256</v>
      </c>
      <c r="E57" s="1236">
        <v>85</v>
      </c>
      <c r="F57" s="1236">
        <v>3124745</v>
      </c>
    </row>
    <row r="58" spans="1:6">
      <c r="A58" s="1235" t="s">
        <v>48</v>
      </c>
      <c r="B58" s="1235" t="s">
        <v>50</v>
      </c>
      <c r="C58" s="1236">
        <v>20</v>
      </c>
      <c r="D58" s="1236">
        <v>2547677</v>
      </c>
      <c r="E58" s="1236">
        <v>34</v>
      </c>
      <c r="F58" s="1236">
        <v>1083121</v>
      </c>
    </row>
    <row r="59" spans="1:6">
      <c r="A59" s="1235" t="s">
        <v>48</v>
      </c>
      <c r="B59" s="1235" t="s">
        <v>51</v>
      </c>
      <c r="C59" s="1236">
        <v>76</v>
      </c>
      <c r="D59" s="1236">
        <v>2693277</v>
      </c>
      <c r="E59" s="1236">
        <v>178</v>
      </c>
      <c r="F59" s="1236">
        <v>5182406</v>
      </c>
    </row>
    <row r="60" spans="1:6">
      <c r="A60" s="1235" t="s">
        <v>48</v>
      </c>
      <c r="B60" s="1235" t="s">
        <v>52</v>
      </c>
      <c r="C60" s="1236">
        <v>40</v>
      </c>
      <c r="D60" s="1236">
        <v>2117441</v>
      </c>
      <c r="E60" s="1236">
        <v>66</v>
      </c>
      <c r="F60" s="1236">
        <v>1381187</v>
      </c>
    </row>
    <row r="61" spans="1:6">
      <c r="A61" s="1235" t="s">
        <v>48</v>
      </c>
      <c r="B61" s="1235" t="s">
        <v>53</v>
      </c>
      <c r="C61" s="1236">
        <v>113</v>
      </c>
      <c r="D61" s="1236">
        <v>7227944</v>
      </c>
      <c r="E61" s="1236">
        <v>251</v>
      </c>
      <c r="F61" s="1236">
        <v>2914578</v>
      </c>
    </row>
    <row r="62" spans="1:6">
      <c r="A62" s="1235" t="s">
        <v>48</v>
      </c>
      <c r="B62" s="1235" t="s">
        <v>54</v>
      </c>
      <c r="C62" s="1236">
        <v>7</v>
      </c>
      <c r="D62" s="1236">
        <v>364015</v>
      </c>
      <c r="E62" s="1236">
        <v>14</v>
      </c>
      <c r="F62" s="1236">
        <v>256413</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41730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81472</v>
      </c>
      <c r="E68" s="1238">
        <v>3</v>
      </c>
      <c r="F68" s="1238">
        <v>16450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52528086</v>
      </c>
      <c r="E73" s="443"/>
      <c r="F73" s="324"/>
    </row>
    <row r="74" spans="1:6">
      <c r="A74" s="1235" t="s">
        <v>63</v>
      </c>
      <c r="B74" s="1235" t="s">
        <v>730</v>
      </c>
      <c r="C74" s="1248" t="s">
        <v>731</v>
      </c>
      <c r="D74" s="1236">
        <v>4412669.9242820479</v>
      </c>
      <c r="E74" s="443"/>
      <c r="F74" s="324"/>
    </row>
    <row r="75" spans="1:6">
      <c r="A75" s="1235" t="s">
        <v>64</v>
      </c>
      <c r="B75" s="1235" t="s">
        <v>728</v>
      </c>
      <c r="C75" s="1248" t="s">
        <v>732</v>
      </c>
      <c r="D75" s="1236">
        <v>7632717</v>
      </c>
      <c r="E75" s="443"/>
      <c r="F75" s="324"/>
    </row>
    <row r="76" spans="1:6">
      <c r="A76" s="1235" t="s">
        <v>64</v>
      </c>
      <c r="B76" s="1235" t="s">
        <v>730</v>
      </c>
      <c r="C76" s="1248" t="s">
        <v>733</v>
      </c>
      <c r="D76" s="1236">
        <v>86618.924282047956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300472.15143590409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1890.4838468757255</v>
      </c>
      <c r="C91" s="324"/>
      <c r="D91" s="324"/>
      <c r="E91" s="324"/>
      <c r="F91" s="324"/>
    </row>
    <row r="92" spans="1:6">
      <c r="A92" s="1230" t="s">
        <v>68</v>
      </c>
      <c r="B92" s="1231">
        <v>489.04103454521629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5094</v>
      </c>
      <c r="C97" s="324"/>
      <c r="D97" s="324"/>
      <c r="E97" s="324"/>
      <c r="F97" s="324"/>
    </row>
    <row r="98" spans="1:6">
      <c r="A98" s="1235" t="s">
        <v>71</v>
      </c>
      <c r="B98" s="1236">
        <v>7</v>
      </c>
      <c r="C98" s="324"/>
      <c r="D98" s="324"/>
      <c r="E98" s="324"/>
      <c r="F98" s="324"/>
    </row>
    <row r="99" spans="1:6">
      <c r="A99" s="1235" t="s">
        <v>72</v>
      </c>
      <c r="B99" s="1236">
        <v>111</v>
      </c>
      <c r="C99" s="324"/>
      <c r="D99" s="324"/>
      <c r="E99" s="324"/>
      <c r="F99" s="324"/>
    </row>
    <row r="100" spans="1:6">
      <c r="A100" s="1235" t="s">
        <v>73</v>
      </c>
      <c r="B100" s="1236">
        <v>335</v>
      </c>
      <c r="C100" s="324"/>
      <c r="D100" s="324"/>
      <c r="E100" s="324"/>
      <c r="F100" s="324"/>
    </row>
    <row r="101" spans="1:6">
      <c r="A101" s="1235" t="s">
        <v>74</v>
      </c>
      <c r="B101" s="1236">
        <v>106</v>
      </c>
      <c r="C101" s="324"/>
      <c r="D101" s="324"/>
      <c r="E101" s="324"/>
      <c r="F101" s="324"/>
    </row>
    <row r="102" spans="1:6">
      <c r="A102" s="1235" t="s">
        <v>75</v>
      </c>
      <c r="B102" s="1236">
        <v>71</v>
      </c>
      <c r="C102" s="324"/>
      <c r="D102" s="324"/>
      <c r="E102" s="324"/>
      <c r="F102" s="324"/>
    </row>
    <row r="103" spans="1:6">
      <c r="A103" s="1235" t="s">
        <v>76</v>
      </c>
      <c r="B103" s="1236">
        <v>316</v>
      </c>
      <c r="C103" s="324"/>
      <c r="D103" s="324"/>
      <c r="E103" s="324"/>
      <c r="F103" s="324"/>
    </row>
    <row r="104" spans="1:6">
      <c r="A104" s="1235" t="s">
        <v>77</v>
      </c>
      <c r="B104" s="1236">
        <v>1788</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8</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68</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63961.154807072715</v>
      </c>
      <c r="C3" s="43" t="s">
        <v>163</v>
      </c>
      <c r="D3" s="43"/>
      <c r="E3" s="155"/>
      <c r="F3" s="43"/>
      <c r="G3" s="43"/>
      <c r="H3" s="43"/>
      <c r="I3" s="43"/>
      <c r="J3" s="43"/>
      <c r="K3" s="96"/>
    </row>
    <row r="4" spans="1:11">
      <c r="A4" s="350" t="s">
        <v>164</v>
      </c>
      <c r="B4" s="49">
        <f>IF(ISERROR('SEAP template'!B78+'SEAP template'!C78),0,'SEAP template'!B78+'SEAP template'!C78)</f>
        <v>2382.1498814209417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0.58916666666666673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0.21277835424151514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2.9458333333333337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13.125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0.22444444444444447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1158.6199999999999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1158.6199999999999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0.21277835424151514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246.52925679130425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37904.33</v>
      </c>
      <c r="C5" s="17">
        <f>IF(ISERROR('Eigen informatie GS &amp; warmtenet'!B57),0,'Eigen informatie GS &amp; warmtenet'!B57)</f>
        <v>0</v>
      </c>
      <c r="D5" s="30">
        <f>(SUM(HH_hh_gas_kWh,HH_rest_gas_kWh)/1000)*0.902</f>
        <v>132393.637838</v>
      </c>
      <c r="E5" s="17">
        <f>B32*B41</f>
        <v>873.29460534988254</v>
      </c>
      <c r="F5" s="17">
        <f>B36*B45</f>
        <v>29809.383570585771</v>
      </c>
      <c r="G5" s="18"/>
      <c r="H5" s="17"/>
      <c r="I5" s="17"/>
      <c r="J5" s="17">
        <f>B35*B44+C35*C44</f>
        <v>671.23174266149249</v>
      </c>
      <c r="K5" s="17"/>
      <c r="L5" s="17"/>
      <c r="M5" s="17"/>
      <c r="N5" s="17">
        <f>B34*B43+C34*C43</f>
        <v>10003.450278849024</v>
      </c>
      <c r="O5" s="17">
        <f>B52*B53*B54</f>
        <v>118.81333333333333</v>
      </c>
      <c r="P5" s="17">
        <f>B60*B61*B62/1000-B60*B61*B62/1000/B63</f>
        <v>286</v>
      </c>
    </row>
    <row r="6" spans="1:16">
      <c r="A6" s="16" t="s">
        <v>591</v>
      </c>
      <c r="B6" s="727">
        <f>kWh_PV_kleiner_dan_10kW</f>
        <v>1890.4838468757255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39794.813846875724</v>
      </c>
      <c r="C8" s="21">
        <f>C5</f>
        <v>0</v>
      </c>
      <c r="D8" s="21">
        <f>D5</f>
        <v>132393.637838</v>
      </c>
      <c r="E8" s="21">
        <f>E5</f>
        <v>873.29460534988254</v>
      </c>
      <c r="F8" s="21">
        <f>F5</f>
        <v>29809.383570585771</v>
      </c>
      <c r="G8" s="21"/>
      <c r="H8" s="21"/>
      <c r="I8" s="21"/>
      <c r="J8" s="21">
        <f>J5</f>
        <v>671.23174266149249</v>
      </c>
      <c r="K8" s="21"/>
      <c r="L8" s="21">
        <f>L5</f>
        <v>0</v>
      </c>
      <c r="M8" s="21">
        <f>M5</f>
        <v>0</v>
      </c>
      <c r="N8" s="21">
        <f>N5</f>
        <v>10003.450278849024</v>
      </c>
      <c r="O8" s="21">
        <f>O5</f>
        <v>118.81333333333333</v>
      </c>
      <c r="P8" s="21">
        <f>P5</f>
        <v>286</v>
      </c>
    </row>
    <row r="9" spans="1:16">
      <c r="B9" s="19"/>
      <c r="C9" s="19"/>
      <c r="D9" s="255"/>
      <c r="E9" s="19"/>
      <c r="F9" s="19"/>
      <c r="G9" s="19"/>
      <c r="H9" s="19"/>
      <c r="I9" s="19"/>
      <c r="J9" s="19"/>
      <c r="K9" s="19"/>
      <c r="L9" s="19"/>
      <c r="M9" s="19"/>
      <c r="N9" s="19"/>
      <c r="O9" s="19"/>
      <c r="P9" s="19"/>
    </row>
    <row r="10" spans="1:16">
      <c r="A10" s="24" t="s">
        <v>207</v>
      </c>
      <c r="B10" s="25">
        <f ca="1">'EF ele_warmte'!B12</f>
        <v>0.21277835424151514</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8467.4749976856747</v>
      </c>
      <c r="C12" s="23">
        <f ca="1">C10*C8</f>
        <v>0</v>
      </c>
      <c r="D12" s="23">
        <f>D8*D10</f>
        <v>26743.514843276</v>
      </c>
      <c r="E12" s="23">
        <f>E10*E8</f>
        <v>198.23787541442334</v>
      </c>
      <c r="F12" s="23">
        <f>F10*F8</f>
        <v>7959.1054133464013</v>
      </c>
      <c r="G12" s="23"/>
      <c r="H12" s="23"/>
      <c r="I12" s="23"/>
      <c r="J12" s="23">
        <f>J10*J8</f>
        <v>237.61603690216833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8840</v>
      </c>
      <c r="C26" s="36"/>
      <c r="D26" s="225"/>
    </row>
    <row r="27" spans="1:5" s="15" customFormat="1">
      <c r="A27" s="227" t="s">
        <v>671</v>
      </c>
      <c r="B27" s="37">
        <f>SUM(HH_hh_gas_aantal,HH_rest_gas_aantal)</f>
        <v>7385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7015.75</v>
      </c>
      <c r="C31" s="34" t="s">
        <v>104</v>
      </c>
      <c r="D31" s="171"/>
    </row>
    <row r="32" spans="1:5">
      <c r="A32" s="168" t="s">
        <v>72</v>
      </c>
      <c r="B32" s="33">
        <f>IF((B21*($B$26-($B$27-0.05*$B$27)-$B$60))&lt;0,0,B21*($B$26-($B$27-0.05*$B$27)-$B$60))</f>
        <v>12.826802082396846</v>
      </c>
      <c r="C32" s="34" t="s">
        <v>104</v>
      </c>
      <c r="D32" s="171"/>
    </row>
    <row r="33" spans="1:6">
      <c r="A33" s="168" t="s">
        <v>73</v>
      </c>
      <c r="B33" s="33">
        <f>IF((B22*($B$26-($B$27-0.05*$B$27)-$B$60))&lt;0,0,B22*($B$26-($B$27-0.05*$B$27)-$B$60))</f>
        <v>367.6144025383532</v>
      </c>
      <c r="C33" s="34" t="s">
        <v>104</v>
      </c>
      <c r="D33" s="171"/>
    </row>
    <row r="34" spans="1:6">
      <c r="A34" s="168" t="s">
        <v>74</v>
      </c>
      <c r="B34" s="33">
        <f>IF((B24*($B$26-($B$27-0.05*$B$27)-$B$60))&lt;0,0,B24*($B$26-($B$27-0.05*$B$27)-$B$60))</f>
        <v>73.306196932460907</v>
      </c>
      <c r="C34" s="33">
        <f>B26*C24</f>
        <v>1807.5821142131931</v>
      </c>
      <c r="D34" s="230"/>
    </row>
    <row r="35" spans="1:6">
      <c r="A35" s="168" t="s">
        <v>76</v>
      </c>
      <c r="B35" s="33">
        <f>IF((B19*($B$26-($B$27-0.05*$B$27)-$B$60))&lt;0,0,B19*($B$26-($B$27-0.05*$B$27)-$B$60))</f>
        <v>38.175006197609669</v>
      </c>
      <c r="C35" s="33">
        <f>B35/2</f>
        <v>19.087503098804834</v>
      </c>
      <c r="D35" s="230"/>
    </row>
    <row r="36" spans="1:6">
      <c r="A36" s="168" t="s">
        <v>77</v>
      </c>
      <c r="B36" s="33">
        <f>IF((B18*($B$26-($B$27-0.05*$B$27)-$B$60))&lt;0,0,B18*($B$26-($B$27-0.05*$B$27)-$B$60))</f>
        <v>1317.3275922491794</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13942.449999999997</v>
      </c>
      <c r="C5" s="17">
        <f>IF(ISERROR('Eigen informatie GS &amp; warmtenet'!B58),0,'Eigen informatie GS &amp; warmtenet'!B58)</f>
        <v>0</v>
      </c>
      <c r="D5" s="30">
        <f>SUM(D6:D12)</f>
        <v>15034.184220000001</v>
      </c>
      <c r="E5" s="17">
        <f>SUM(E6:E12)</f>
        <v>222.46768032540868</v>
      </c>
      <c r="F5" s="17">
        <f>SUM(F6:F12)</f>
        <v>2829.6141535748643</v>
      </c>
      <c r="G5" s="18"/>
      <c r="H5" s="17"/>
      <c r="I5" s="17"/>
      <c r="J5" s="17">
        <f>SUM(J6:J12)</f>
        <v>0</v>
      </c>
      <c r="K5" s="17"/>
      <c r="L5" s="17"/>
      <c r="M5" s="17"/>
      <c r="N5" s="17">
        <f>SUM(N6:N12)</f>
        <v>707.59966294272431</v>
      </c>
      <c r="O5" s="17">
        <f>B38*B39*B40</f>
        <v>0</v>
      </c>
      <c r="P5" s="17">
        <f>B46*B47*B48/1000-B46*B47*B48/1000/B49</f>
        <v>0</v>
      </c>
      <c r="R5" s="32"/>
    </row>
    <row r="6" spans="1:18">
      <c r="A6" s="32" t="s">
        <v>53</v>
      </c>
      <c r="B6" s="37">
        <f>B26</f>
        <v>2914.578</v>
      </c>
      <c r="C6" s="33"/>
      <c r="D6" s="37">
        <f>IF(ISERROR(TER_kantoor_gas_kWh/1000),0,TER_kantoor_gas_kWh/1000)*0.902</f>
        <v>6519.6054880000002</v>
      </c>
      <c r="E6" s="33">
        <f>$C$26*'E Balans VL '!I12/100/3.6*1000000</f>
        <v>100.82111408675955</v>
      </c>
      <c r="F6" s="33">
        <f>$C$26*('E Balans VL '!L12+'E Balans VL '!N12)/100/3.6*1000000</f>
        <v>444.94128002871173</v>
      </c>
      <c r="G6" s="34"/>
      <c r="H6" s="33"/>
      <c r="I6" s="33"/>
      <c r="J6" s="33">
        <f>$C$26*('E Balans VL '!D12+'E Balans VL '!E12)/100/3.6*1000000</f>
        <v>0</v>
      </c>
      <c r="K6" s="33"/>
      <c r="L6" s="33"/>
      <c r="M6" s="33"/>
      <c r="N6" s="33">
        <f>$C$26*'E Balans VL '!Y12/100/3.6*1000000</f>
        <v>44.929605364036611</v>
      </c>
      <c r="O6" s="33"/>
      <c r="P6" s="33"/>
      <c r="R6" s="32"/>
    </row>
    <row r="7" spans="1:18">
      <c r="A7" s="32" t="s">
        <v>52</v>
      </c>
      <c r="B7" s="37">
        <f t="shared" ref="B7:B12" si="0">B27</f>
        <v>1381.1869999999999</v>
      </c>
      <c r="C7" s="33"/>
      <c r="D7" s="37">
        <f>IF(ISERROR(TER_horeca_gas_kWh/1000),0,TER_horeca_gas_kWh/1000)*0.902</f>
        <v>1909.9317819999999</v>
      </c>
      <c r="E7" s="33">
        <f>$C$27*'E Balans VL '!I9/100/3.6*1000000</f>
        <v>75.693436505487412</v>
      </c>
      <c r="F7" s="33">
        <f>$C$27*('E Balans VL '!L9+'E Balans VL '!N9)/100/3.6*1000000</f>
        <v>233.74304089717009</v>
      </c>
      <c r="G7" s="34"/>
      <c r="H7" s="33"/>
      <c r="I7" s="33"/>
      <c r="J7" s="33">
        <f>$C$27*('E Balans VL '!D9+'E Balans VL '!E9)/100/3.6*1000000</f>
        <v>0</v>
      </c>
      <c r="K7" s="33"/>
      <c r="L7" s="33"/>
      <c r="M7" s="33"/>
      <c r="N7" s="33">
        <f>$C$27*'E Balans VL '!Y9/100/3.6*1000000</f>
        <v>0</v>
      </c>
      <c r="O7" s="33"/>
      <c r="P7" s="33"/>
      <c r="R7" s="32"/>
    </row>
    <row r="8" spans="1:18">
      <c r="A8" s="6" t="s">
        <v>51</v>
      </c>
      <c r="B8" s="37">
        <f t="shared" si="0"/>
        <v>5182.4059999999999</v>
      </c>
      <c r="C8" s="33"/>
      <c r="D8" s="37">
        <f>IF(ISERROR(TER_handel_gas_kWh/1000),0,TER_handel_gas_kWh/1000)*0.902</f>
        <v>2429.3358539999999</v>
      </c>
      <c r="E8" s="33">
        <f>$C$28*'E Balans VL '!I13/100/3.6*1000000</f>
        <v>26.21867684694433</v>
      </c>
      <c r="F8" s="33">
        <f>$C$28*('E Balans VL '!L13+'E Balans VL '!N13)/100/3.6*1000000</f>
        <v>787.42605895514714</v>
      </c>
      <c r="G8" s="34"/>
      <c r="H8" s="33"/>
      <c r="I8" s="33"/>
      <c r="J8" s="33">
        <f>$C$28*('E Balans VL '!D13+'E Balans VL '!E13)/100/3.6*1000000</f>
        <v>0</v>
      </c>
      <c r="K8" s="33"/>
      <c r="L8" s="33"/>
      <c r="M8" s="33"/>
      <c r="N8" s="33">
        <f>$C$28*'E Balans VL '!Y13/100/3.6*1000000</f>
        <v>2.4234317748888539</v>
      </c>
      <c r="O8" s="33"/>
      <c r="P8" s="33"/>
      <c r="R8" s="32"/>
    </row>
    <row r="9" spans="1:18">
      <c r="A9" s="32" t="s">
        <v>50</v>
      </c>
      <c r="B9" s="37">
        <f t="shared" si="0"/>
        <v>1083.1210000000001</v>
      </c>
      <c r="C9" s="33"/>
      <c r="D9" s="37">
        <f>IF(ISERROR(TER_gezond_gas_kWh/1000),0,TER_gezond_gas_kWh/1000)*0.902</f>
        <v>2298.0046540000003</v>
      </c>
      <c r="E9" s="33">
        <f>$C$29*'E Balans VL '!I10/100/3.6*1000000</f>
        <v>0.39387225009600452</v>
      </c>
      <c r="F9" s="33">
        <f>$C$29*('E Balans VL '!L10+'E Balans VL '!N10)/100/3.6*1000000</f>
        <v>234.03317983506076</v>
      </c>
      <c r="G9" s="34"/>
      <c r="H9" s="33"/>
      <c r="I9" s="33"/>
      <c r="J9" s="33">
        <f>$C$29*('E Balans VL '!D10+'E Balans VL '!E10)/100/3.6*1000000</f>
        <v>0</v>
      </c>
      <c r="K9" s="33"/>
      <c r="L9" s="33"/>
      <c r="M9" s="33"/>
      <c r="N9" s="33">
        <f>$C$29*'E Balans VL '!Y10/100/3.6*1000000</f>
        <v>8.2125201722591132</v>
      </c>
      <c r="O9" s="33"/>
      <c r="P9" s="33"/>
      <c r="R9" s="32"/>
    </row>
    <row r="10" spans="1:18">
      <c r="A10" s="32" t="s">
        <v>49</v>
      </c>
      <c r="B10" s="37">
        <f t="shared" si="0"/>
        <v>3124.7449999999999</v>
      </c>
      <c r="C10" s="33"/>
      <c r="D10" s="37">
        <f>IF(ISERROR(TER_ander_gas_kWh/1000),0,TER_ander_gas_kWh/1000)*0.902</f>
        <v>1548.9649120000001</v>
      </c>
      <c r="E10" s="33">
        <f>$C$30*'E Balans VL '!I14/100/3.6*1000000</f>
        <v>19.022349902891573</v>
      </c>
      <c r="F10" s="33">
        <f>$C$30*('E Balans VL '!L14+'E Balans VL '!N14)/100/3.6*1000000</f>
        <v>827.27444843175579</v>
      </c>
      <c r="G10" s="34"/>
      <c r="H10" s="33"/>
      <c r="I10" s="33"/>
      <c r="J10" s="33">
        <f>$C$30*('E Balans VL '!D14+'E Balans VL '!E14)/100/3.6*1000000</f>
        <v>0</v>
      </c>
      <c r="K10" s="33"/>
      <c r="L10" s="33"/>
      <c r="M10" s="33"/>
      <c r="N10" s="33">
        <f>$C$30*'E Balans VL '!Y14/100/3.6*1000000</f>
        <v>650.80334717967878</v>
      </c>
      <c r="O10" s="33"/>
      <c r="P10" s="33"/>
      <c r="R10" s="32"/>
    </row>
    <row r="11" spans="1:18">
      <c r="A11" s="32" t="s">
        <v>54</v>
      </c>
      <c r="B11" s="37">
        <f t="shared" si="0"/>
        <v>256.41300000000001</v>
      </c>
      <c r="C11" s="33"/>
      <c r="D11" s="37">
        <f>IF(ISERROR(TER_onderwijs_gas_kWh/1000),0,TER_onderwijs_gas_kWh/1000)*0.902</f>
        <v>328.34152999999998</v>
      </c>
      <c r="E11" s="33">
        <f>$C$31*'E Balans VL '!I11/100/3.6*1000000</f>
        <v>0.31823073322982826</v>
      </c>
      <c r="F11" s="33">
        <f>$C$31*('E Balans VL '!L11+'E Balans VL '!N11)/100/3.6*1000000</f>
        <v>302.19614542701839</v>
      </c>
      <c r="G11" s="34"/>
      <c r="H11" s="33"/>
      <c r="I11" s="33"/>
      <c r="J11" s="33">
        <f>$C$31*('E Balans VL '!D11+'E Balans VL '!E11)/100/3.6*1000000</f>
        <v>0</v>
      </c>
      <c r="K11" s="33"/>
      <c r="L11" s="33"/>
      <c r="M11" s="33"/>
      <c r="N11" s="33">
        <f>$C$31*'E Balans VL '!Y11/100/3.6*1000000</f>
        <v>1.2307584518609491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2.625</v>
      </c>
      <c r="C13" s="243">
        <f ca="1">'lokale energieproductie'!O38+'lokale energieproductie'!O31</f>
        <v>13.125</v>
      </c>
      <c r="D13" s="302">
        <f ca="1">('lokale energieproductie'!P31+'lokale energieproductie'!P38)*(-1)</f>
        <v>-17.5</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13945.074999999997</v>
      </c>
      <c r="C16" s="21">
        <f ca="1">C5+C13+C14</f>
        <v>13.125</v>
      </c>
      <c r="D16" s="21">
        <f t="shared" ref="D16:N16" ca="1" si="1">MAX((D5+D13+D14),0)</f>
        <v>15016.684220000001</v>
      </c>
      <c r="E16" s="21">
        <f t="shared" si="1"/>
        <v>222.46768032540868</v>
      </c>
      <c r="F16" s="21">
        <f t="shared" ca="1" si="1"/>
        <v>2829.6141535748643</v>
      </c>
      <c r="G16" s="21">
        <f t="shared" si="1"/>
        <v>0</v>
      </c>
      <c r="H16" s="21">
        <f t="shared" si="1"/>
        <v>0</v>
      </c>
      <c r="I16" s="21">
        <f t="shared" si="1"/>
        <v>0</v>
      </c>
      <c r="J16" s="21">
        <f t="shared" si="1"/>
        <v>0</v>
      </c>
      <c r="K16" s="21">
        <f t="shared" si="1"/>
        <v>0</v>
      </c>
      <c r="L16" s="21">
        <f t="shared" ca="1" si="1"/>
        <v>0</v>
      </c>
      <c r="M16" s="21">
        <f t="shared" si="1"/>
        <v>0</v>
      </c>
      <c r="N16" s="21">
        <f t="shared" ca="1" si="1"/>
        <v>707.59966294272431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0.21277835424151514</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2967.2101082744962</v>
      </c>
      <c r="C20" s="23">
        <f t="shared" ref="C20:P20" ca="1" si="2">C16*C18</f>
        <v>2.9458333333333337</v>
      </c>
      <c r="D20" s="23">
        <f t="shared" ca="1" si="2"/>
        <v>3033.3702124400006</v>
      </c>
      <c r="E20" s="23">
        <f t="shared" si="2"/>
        <v>50.500163433867769</v>
      </c>
      <c r="F20" s="23">
        <f t="shared" ca="1" si="2"/>
        <v>755.50697900448881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2914.578</v>
      </c>
      <c r="C26" s="39">
        <f>IF(ISERROR(B26*3.6/1000000/'E Balans VL '!Z12*100),0,B26*3.6/1000000/'E Balans VL '!Z12*100)</f>
        <v>6.0610706273193427E-2</v>
      </c>
      <c r="D26" s="233" t="s">
        <v>676</v>
      </c>
      <c r="F26" s="6"/>
    </row>
    <row r="27" spans="1:18">
      <c r="A27" s="228" t="s">
        <v>52</v>
      </c>
      <c r="B27" s="33">
        <f>IF(ISERROR(TER_horeca_ele_kWh/1000),0,TER_horeca_ele_kWh/1000)</f>
        <v>1381.1869999999999</v>
      </c>
      <c r="C27" s="39">
        <f>IF(ISERROR(B27*3.6/1000000/'E Balans VL '!Z9*100),0,B27*3.6/1000000/'E Balans VL '!Z9*100)</f>
        <v>0.11360361090921361</v>
      </c>
      <c r="D27" s="233" t="s">
        <v>676</v>
      </c>
      <c r="F27" s="6"/>
    </row>
    <row r="28" spans="1:18">
      <c r="A28" s="168" t="s">
        <v>51</v>
      </c>
      <c r="B28" s="33">
        <f>IF(ISERROR(TER_handel_ele_kWh/1000),0,TER_handel_ele_kWh/1000)</f>
        <v>5182.4059999999999</v>
      </c>
      <c r="C28" s="39">
        <f>IF(ISERROR(B28*3.6/1000000/'E Balans VL '!Z13*100),0,B28*3.6/1000000/'E Balans VL '!Z13*100)</f>
        <v>0.14344798494679245</v>
      </c>
      <c r="D28" s="233" t="s">
        <v>676</v>
      </c>
      <c r="F28" s="6"/>
    </row>
    <row r="29" spans="1:18">
      <c r="A29" s="228" t="s">
        <v>50</v>
      </c>
      <c r="B29" s="33">
        <f>IF(ISERROR(TER_gezond_ele_kWh/1000),0,TER_gezond_ele_kWh/1000)</f>
        <v>1083.1210000000001</v>
      </c>
      <c r="C29" s="39">
        <f>IF(ISERROR(B29*3.6/1000000/'E Balans VL '!Z10*100),0,B29*3.6/1000000/'E Balans VL '!Z10*100)</f>
        <v>0.12352208835289466</v>
      </c>
      <c r="D29" s="233" t="s">
        <v>676</v>
      </c>
      <c r="F29" s="6"/>
    </row>
    <row r="30" spans="1:18">
      <c r="A30" s="228" t="s">
        <v>49</v>
      </c>
      <c r="B30" s="33">
        <f>IF(ISERROR(TER_ander_ele_kWh/1000),0,TER_ander_ele_kWh/1000)</f>
        <v>3124.7449999999999</v>
      </c>
      <c r="C30" s="39">
        <f>IF(ISERROR(B30*3.6/1000000/'E Balans VL '!Z14*100),0,B30*3.6/1000000/'E Balans VL '!Z14*100)</f>
        <v>0.24186373895087573</v>
      </c>
      <c r="D30" s="233" t="s">
        <v>676</v>
      </c>
      <c r="F30" s="6"/>
    </row>
    <row r="31" spans="1:18">
      <c r="A31" s="228" t="s">
        <v>54</v>
      </c>
      <c r="B31" s="33">
        <f>IF(ISERROR(TER_onderwijs_ele_kWh/1000),0,TER_onderwijs_ele_kWh/1000)</f>
        <v>256.41300000000001</v>
      </c>
      <c r="C31" s="39">
        <f>IF(ISERROR(B31*3.6/1000000/'E Balans VL '!Z11*100),0,B31*3.6/1000000/'E Balans VL '!Z11*100)</f>
        <v>7.9893440562216755E-2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6897.7119999999995</v>
      </c>
      <c r="C5" s="17">
        <f>IF(ISERROR('Eigen informatie GS &amp; warmtenet'!B59),0,'Eigen informatie GS &amp; warmtenet'!B59)</f>
        <v>0</v>
      </c>
      <c r="D5" s="30">
        <f>SUM(D6:D15)</f>
        <v>15297.099180000001</v>
      </c>
      <c r="E5" s="17">
        <f>SUM(E6:E15)</f>
        <v>66.626463219837078</v>
      </c>
      <c r="F5" s="17">
        <f>SUM(F6:F15)</f>
        <v>1874.2309473338498</v>
      </c>
      <c r="G5" s="18"/>
      <c r="H5" s="17"/>
      <c r="I5" s="17"/>
      <c r="J5" s="17">
        <f>SUM(J6:J15)</f>
        <v>83.333505069308643</v>
      </c>
      <c r="K5" s="17"/>
      <c r="L5" s="17"/>
      <c r="M5" s="17"/>
      <c r="N5" s="17">
        <f>SUM(N6:N15)</f>
        <v>152.51491195818704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3580.549</v>
      </c>
      <c r="C8" s="33"/>
      <c r="D8" s="37">
        <f>IF( ISERROR(IND_metaal_Gas_kWH/1000),0,IND_metaal_Gas_kWH/1000)*0.902</f>
        <v>0</v>
      </c>
      <c r="E8" s="33">
        <f>C30*'E Balans VL '!I18/100/3.6*1000000</f>
        <v>25.159727810698314</v>
      </c>
      <c r="F8" s="33">
        <f>C30*'E Balans VL '!L18/100/3.6*1000000+C30*'E Balans VL '!N18/100/3.6*1000000</f>
        <v>393.12333192644206</v>
      </c>
      <c r="G8" s="34"/>
      <c r="H8" s="33"/>
      <c r="I8" s="33"/>
      <c r="J8" s="40">
        <f>C30*'E Balans VL '!D18/100/3.6*1000000+C30*'E Balans VL '!E18/100/3.6*1000000</f>
        <v>73.874443355855306</v>
      </c>
      <c r="K8" s="33"/>
      <c r="L8" s="33"/>
      <c r="M8" s="33"/>
      <c r="N8" s="33">
        <f>C30*'E Balans VL '!Y18/100/3.6*1000000</f>
        <v>13.420155522862384</v>
      </c>
      <c r="O8" s="33"/>
      <c r="P8" s="33"/>
      <c r="R8" s="32"/>
    </row>
    <row r="9" spans="1:18">
      <c r="A9" s="6" t="s">
        <v>32</v>
      </c>
      <c r="B9" s="37">
        <f t="shared" si="0"/>
        <v>1484.6510000000001</v>
      </c>
      <c r="C9" s="33"/>
      <c r="D9" s="37">
        <f>IF( ISERROR(IND_andere_gas_kWh/1000),0,IND_andere_gas_kWh/1000)*0.902</f>
        <v>14285.589164000001</v>
      </c>
      <c r="E9" s="33">
        <f>C31*'E Balans VL '!I19/100/3.6*1000000</f>
        <v>24.936532300544638</v>
      </c>
      <c r="F9" s="33">
        <f>C31*'E Balans VL '!L19/100/3.6*1000000+C31*'E Balans VL '!N19/100/3.6*1000000</f>
        <v>1160.6155923928859</v>
      </c>
      <c r="G9" s="34"/>
      <c r="H9" s="33"/>
      <c r="I9" s="33"/>
      <c r="J9" s="40">
        <f>C31*'E Balans VL '!D19/100/3.6*1000000+C31*'E Balans VL '!E19/100/3.6*1000000</f>
        <v>0.1339024146141605</v>
      </c>
      <c r="K9" s="33"/>
      <c r="L9" s="33"/>
      <c r="M9" s="33"/>
      <c r="N9" s="33">
        <f>C31*'E Balans VL '!Y19/100/3.6*1000000</f>
        <v>110.03645822832405</v>
      </c>
      <c r="O9" s="33"/>
      <c r="P9" s="33"/>
      <c r="R9" s="32"/>
    </row>
    <row r="10" spans="1:18">
      <c r="A10" s="6" t="s">
        <v>40</v>
      </c>
      <c r="B10" s="37">
        <f t="shared" si="0"/>
        <v>1107.857</v>
      </c>
      <c r="C10" s="33"/>
      <c r="D10" s="37">
        <f>IF( ISERROR(IND_voed_gas_kWh/1000),0,IND_voed_gas_kWh/1000)*0.902</f>
        <v>932.6373319999999</v>
      </c>
      <c r="E10" s="33">
        <f>C32*'E Balans VL '!I20/100/3.6*1000000</f>
        <v>10.10762689804578</v>
      </c>
      <c r="F10" s="33">
        <f>C32*'E Balans VL '!L20/100/3.6*1000000+C32*'E Balans VL '!N20/100/3.6*1000000</f>
        <v>178.73198583906958</v>
      </c>
      <c r="G10" s="34"/>
      <c r="H10" s="33"/>
      <c r="I10" s="33"/>
      <c r="J10" s="40">
        <f>C32*'E Balans VL '!D20/100/3.6*1000000+C32*'E Balans VL '!E20/100/3.6*1000000</f>
        <v>4.562881472208046</v>
      </c>
      <c r="K10" s="33"/>
      <c r="L10" s="33"/>
      <c r="M10" s="33"/>
      <c r="N10" s="33">
        <f>C32*'E Balans VL '!Y20/100/3.6*1000000</f>
        <v>16.207074340237828</v>
      </c>
      <c r="O10" s="33"/>
      <c r="P10" s="33"/>
      <c r="R10" s="32"/>
    </row>
    <row r="11" spans="1:18">
      <c r="A11" s="6" t="s">
        <v>39</v>
      </c>
      <c r="B11" s="37">
        <f t="shared" si="0"/>
        <v>17.388000000000002</v>
      </c>
      <c r="C11" s="33"/>
      <c r="D11" s="37">
        <f>IF( ISERROR(IND_textiel_gas_kWh/1000),0,IND_textiel_gas_kWh/1000)*0.902</f>
        <v>0</v>
      </c>
      <c r="E11" s="33">
        <f>C33*'E Balans VL '!I21/100/3.6*1000000</f>
        <v>3.9658802663900011E-2</v>
      </c>
      <c r="F11" s="33">
        <f>C33*'E Balans VL '!L21/100/3.6*1000000+C33*'E Balans VL '!N21/100/3.6*1000000</f>
        <v>0.37168462729734436</v>
      </c>
      <c r="G11" s="34"/>
      <c r="H11" s="33"/>
      <c r="I11" s="33"/>
      <c r="J11" s="40">
        <f>C33*'E Balans VL '!D21/100/3.6*1000000+C33*'E Balans VL '!E21/100/3.6*1000000</f>
        <v>0</v>
      </c>
      <c r="K11" s="33"/>
      <c r="L11" s="33"/>
      <c r="M11" s="33"/>
      <c r="N11" s="33">
        <f>C33*'E Balans VL '!Y21/100/3.6*1000000</f>
        <v>0.12334812619281711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707.26700000000005</v>
      </c>
      <c r="C15" s="33"/>
      <c r="D15" s="37">
        <f>IF( ISERROR(IND_rest_gas_kWh/1000),0,IND_rest_gas_kWh/1000)*0.902</f>
        <v>78.872683999999992</v>
      </c>
      <c r="E15" s="33">
        <f>C37*'E Balans VL '!I15/100/3.6*1000000</f>
        <v>6.3829174078844364</v>
      </c>
      <c r="F15" s="33">
        <f>C37*'E Balans VL '!L15/100/3.6*1000000+C37*'E Balans VL '!N15/100/3.6*1000000</f>
        <v>141.38835254815496</v>
      </c>
      <c r="G15" s="34"/>
      <c r="H15" s="33"/>
      <c r="I15" s="33"/>
      <c r="J15" s="40">
        <f>C37*'E Balans VL '!D15/100/3.6*1000000+C37*'E Balans VL '!E15/100/3.6*1000000</f>
        <v>4.7622778266311387</v>
      </c>
      <c r="K15" s="33"/>
      <c r="L15" s="33"/>
      <c r="M15" s="33"/>
      <c r="N15" s="33">
        <f>C37*'E Balans VL '!Y15/100/3.6*1000000</f>
        <v>12.727875740569985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6897.7119999999995</v>
      </c>
      <c r="C18" s="21">
        <f>C5+C16</f>
        <v>0</v>
      </c>
      <c r="D18" s="21">
        <f>MAX((D5+D16),0)</f>
        <v>15297.099180000001</v>
      </c>
      <c r="E18" s="21">
        <f>MAX((E5+E16),0)</f>
        <v>66.626463219837078</v>
      </c>
      <c r="F18" s="21">
        <f>MAX((F5+F16),0)</f>
        <v>1874.2309473338498</v>
      </c>
      <c r="G18" s="21"/>
      <c r="H18" s="21"/>
      <c r="I18" s="21"/>
      <c r="J18" s="21">
        <f>MAX((J5+J16),0)</f>
        <v>83.333505069308643</v>
      </c>
      <c r="K18" s="21"/>
      <c r="L18" s="21">
        <f>MAX((L5+L16),0)</f>
        <v>0</v>
      </c>
      <c r="M18" s="21"/>
      <c r="N18" s="21">
        <f>MAX((N5+N16),0)</f>
        <v>152.51491195818704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0.21277835424151514</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1467.6838073919498</v>
      </c>
      <c r="C22" s="23">
        <f ca="1">C18*C20</f>
        <v>0</v>
      </c>
      <c r="D22" s="23">
        <f>D18*D20</f>
        <v>3090.0140343600006</v>
      </c>
      <c r="E22" s="23">
        <f>E18*E20</f>
        <v>15.124207150903016</v>
      </c>
      <c r="F22" s="23">
        <f>F18*F20</f>
        <v>500.41966293813795</v>
      </c>
      <c r="G22" s="23"/>
      <c r="H22" s="23"/>
      <c r="I22" s="23"/>
      <c r="J22" s="23">
        <f>J18*J20</f>
        <v>29.500060794535258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3580.549</v>
      </c>
      <c r="C30" s="39">
        <f>IF(ISERROR(B30*3.6/1000000/'E Balans VL '!Z18*100),0,B30*3.6/1000000/'E Balans VL '!Z18*100)</f>
        <v>0.23835933339644141</v>
      </c>
      <c r="D30" s="233" t="s">
        <v>676</v>
      </c>
    </row>
    <row r="31" spans="1:18">
      <c r="A31" s="6" t="s">
        <v>32</v>
      </c>
      <c r="B31" s="37">
        <f>IF( ISERROR(IND_ander_ele_kWh/1000),0,IND_ander_ele_kWh/1000)</f>
        <v>1484.6510000000001</v>
      </c>
      <c r="C31" s="39">
        <f>IF(ISERROR(B31*3.6/1000000/'E Balans VL '!Z19*100),0,B31*3.6/1000000/'E Balans VL '!Z19*100)</f>
        <v>6.580869523699355E-2</v>
      </c>
      <c r="D31" s="233" t="s">
        <v>676</v>
      </c>
    </row>
    <row r="32" spans="1:18">
      <c r="A32" s="168" t="s">
        <v>40</v>
      </c>
      <c r="B32" s="37">
        <f>IF( ISERROR(IND_voed_ele_kWh/1000),0,IND_voed_ele_kWh/1000)</f>
        <v>1107.857</v>
      </c>
      <c r="C32" s="39">
        <f>IF(ISERROR(B32*3.6/1000000/'E Balans VL '!Z20*100),0,B32*3.6/1000000/'E Balans VL '!Z20*100)</f>
        <v>3.7005601830415472E-2</v>
      </c>
      <c r="D32" s="233" t="s">
        <v>676</v>
      </c>
    </row>
    <row r="33" spans="1:5">
      <c r="A33" s="168" t="s">
        <v>39</v>
      </c>
      <c r="B33" s="37">
        <f>IF( ISERROR(IND_textiel_ele_kWh/1000),0,IND_textiel_ele_kWh/1000)</f>
        <v>17.388000000000002</v>
      </c>
      <c r="C33" s="39">
        <f>IF(ISERROR(B33*3.6/1000000/'E Balans VL '!Z21*100),0,B33*3.6/1000000/'E Balans VL '!Z21*100)</f>
        <v>2.2891702974231448E-3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707.26700000000005</v>
      </c>
      <c r="C37" s="39">
        <f>IF(ISERROR(B37*3.6/1000000/'E Balans VL '!Z15*100),0,B37*3.6/1000000/'E Balans VL '!Z15*100)</f>
        <v>5.2609142434955616E-3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577.375</v>
      </c>
      <c r="C5" s="17">
        <f>'Eigen informatie GS &amp; warmtenet'!B60</f>
        <v>0</v>
      </c>
      <c r="D5" s="30">
        <f>IF(ISERROR(SUM(LB_lb_gas_kWh,LB_rest_gas_kWh)/1000),0,SUM(LB_lb_gas_kWh,LB_rest_gas_kWh)/1000)*0.902</f>
        <v>195.28480400000001</v>
      </c>
      <c r="E5" s="17">
        <f>B17*'E Balans VL '!I25/3.6*1000000/100</f>
        <v>5.2028813743029705</v>
      </c>
      <c r="F5" s="17">
        <f>B17*('E Balans VL '!L25/3.6*1000000+'E Balans VL '!N25/3.6*1000000)/100</f>
        <v>2163.4417343543882</v>
      </c>
      <c r="G5" s="18"/>
      <c r="H5" s="17"/>
      <c r="I5" s="17"/>
      <c r="J5" s="17">
        <f>('E Balans VL '!D25+'E Balans VL '!E25)/3.6*1000000*landbouw!B17/100</f>
        <v>58.427962043679543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577.375</v>
      </c>
      <c r="C8" s="21">
        <f>C5+C6</f>
        <v>0</v>
      </c>
      <c r="D8" s="21">
        <f>MAX((D5+D6),0)</f>
        <v>195.28480400000001</v>
      </c>
      <c r="E8" s="21">
        <f>MAX((E5+E6),0)</f>
        <v>5.2028813743029705</v>
      </c>
      <c r="F8" s="21">
        <f>MAX((F5+F6),0)</f>
        <v>2163.4417343543882</v>
      </c>
      <c r="G8" s="21"/>
      <c r="H8" s="21"/>
      <c r="I8" s="21"/>
      <c r="J8" s="21">
        <f>MAX((J5+J6),0)</f>
        <v>58.427962043679543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0.21277835424151514</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122.85290228019481</v>
      </c>
      <c r="C12" s="23">
        <f ca="1">C8*C10</f>
        <v>0</v>
      </c>
      <c r="D12" s="23">
        <f>D8*D10</f>
        <v>39.447530408000006</v>
      </c>
      <c r="E12" s="23">
        <f>E8*E10</f>
        <v>1.1810540719667744</v>
      </c>
      <c r="F12" s="23">
        <f>F8*F10</f>
        <v>577.63894307262171</v>
      </c>
      <c r="G12" s="23"/>
      <c r="H12" s="23"/>
      <c r="I12" s="23"/>
      <c r="J12" s="23">
        <f>J8*J10</f>
        <v>20.683498563462557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8.8869157897151982E-2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159.89645499033875</v>
      </c>
      <c r="C26" s="243">
        <f>B26*'GWP N2O_CH4'!B5</f>
        <v>3357.8255547971139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36.313303011616625</v>
      </c>
      <c r="C27" s="243">
        <f>B27*'GWP N2O_CH4'!B5</f>
        <v>762.57936324394916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1.9647323640969259</v>
      </c>
      <c r="C28" s="243">
        <f>B28*'GWP N2O_CH4'!B4</f>
        <v>609.067032870047</v>
      </c>
      <c r="D28" s="50"/>
    </row>
    <row r="29" spans="1:4">
      <c r="A29" s="41" t="s">
        <v>266</v>
      </c>
      <c r="B29" s="243">
        <f>B34*'ha_N2O bodem landbouw'!B4</f>
        <v>8.2639270755559462</v>
      </c>
      <c r="C29" s="243">
        <f>B29*'GWP N2O_CH4'!B4</f>
        <v>2561.8173934223432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2.1455717658813945E-3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2.3797659561239038E-6</v>
      </c>
      <c r="C5" s="431" t="s">
        <v>204</v>
      </c>
      <c r="D5" s="416">
        <f>SUM(D6:D11)</f>
        <v>7.8536388130837035E-6</v>
      </c>
      <c r="E5" s="416">
        <f>SUM(E6:E11)</f>
        <v>8.0618154551299176E-4</v>
      </c>
      <c r="F5" s="429" t="s">
        <v>204</v>
      </c>
      <c r="G5" s="416">
        <f>SUM(G6:G11)</f>
        <v>0.14911373751585696</v>
      </c>
      <c r="H5" s="416">
        <f>SUM(H6:H11)</f>
        <v>2.7046216413677028E-2</v>
      </c>
      <c r="I5" s="431" t="s">
        <v>204</v>
      </c>
      <c r="J5" s="431" t="s">
        <v>204</v>
      </c>
      <c r="K5" s="431" t="s">
        <v>204</v>
      </c>
      <c r="L5" s="431" t="s">
        <v>204</v>
      </c>
      <c r="M5" s="416">
        <f>SUM(M6:M11)</f>
        <v>7.6685009439276582E-3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1.9961460268644748E-6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6.3007887530702818E-6</v>
      </c>
      <c r="E6" s="419">
        <f>vkm_GW_PW*SUMIFS(TableVerdeelsleutelVkm[LPG],TableVerdeelsleutelVkm[Voertuigtype],"Lichte voertuigen")*SUMIFS(TableECFTransport[EnergieConsumptieFactor (PJ per km)],TableECFTransport[Index],CONCATENATE($A6,"_LPG_LPG"))</f>
        <v>6.5439023227886858E-4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8.7349639362190312E-2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2.1938465212955349E-2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4.7726700943468824E-3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9.1763949830113094E-8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4.1364942939521539E-2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1.2171367032053985E-6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1.7820234157380408E-3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2.9005469024192002E-7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1.5528500600134226E-6</v>
      </c>
      <c r="E8" s="419">
        <f>vkm_NGW_PW*SUMIFS(TableVerdeelsleutelVkm[LPG],TableVerdeelsleutelVkm[Voertuigtype],"Lichte voertuigen")*SUMIFS(TableECFTransport[EnergieConsumptieFactor (PJ per km)],TableECFTransport[Index],CONCATENATE($A8,"_LPG_LPG"))</f>
        <v>1.5179131323412318E-4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1.9274439432291936E-2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5.1065052258849426E-3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1.065354284523799E-3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1.8012891873958721E-9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1.1247157818532038E-3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2.883813353215095E-8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4.845314931893568E-5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0.66104609892330657</v>
      </c>
      <c r="C14" s="21"/>
      <c r="D14" s="21">
        <f t="shared" ref="D14:M14" si="0">((D5)*10^9/3600)+D12</f>
        <v>2.1815663369676952</v>
      </c>
      <c r="E14" s="21">
        <f t="shared" si="0"/>
        <v>223.93931819805326</v>
      </c>
      <c r="F14" s="21"/>
      <c r="G14" s="21">
        <f t="shared" si="0"/>
        <v>41420.482643293595</v>
      </c>
      <c r="H14" s="21">
        <f t="shared" si="0"/>
        <v>7512.8378926880641</v>
      </c>
      <c r="I14" s="21"/>
      <c r="J14" s="21"/>
      <c r="K14" s="21"/>
      <c r="L14" s="21"/>
      <c r="M14" s="21">
        <f t="shared" si="0"/>
        <v>2130.1391510910162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0.21277835424151514</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0.14065630100667498</v>
      </c>
      <c r="C18" s="23"/>
      <c r="D18" s="23">
        <f t="shared" ref="D18:M18" si="1">D14*D16</f>
        <v>0.44067640006747444</v>
      </c>
      <c r="E18" s="23">
        <f t="shared" si="1"/>
        <v>50.83422523095809</v>
      </c>
      <c r="F18" s="23"/>
      <c r="G18" s="23">
        <f t="shared" si="1"/>
        <v>11059.26886575939</v>
      </c>
      <c r="H18" s="23">
        <f t="shared" si="1"/>
        <v>1870.6966352793279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1.8179690753086884E-5</v>
      </c>
      <c r="C50" s="313">
        <f t="shared" ref="C50:P50" si="2">SUM(C51:C52)</f>
        <v>0</v>
      </c>
      <c r="D50" s="313">
        <f t="shared" si="2"/>
        <v>0</v>
      </c>
      <c r="E50" s="313">
        <f t="shared" si="2"/>
        <v>0</v>
      </c>
      <c r="F50" s="313">
        <f t="shared" si="2"/>
        <v>0</v>
      </c>
      <c r="G50" s="313">
        <f t="shared" si="2"/>
        <v>3.9439013873621134E-3</v>
      </c>
      <c r="H50" s="313">
        <f t="shared" si="2"/>
        <v>0</v>
      </c>
      <c r="I50" s="313">
        <f t="shared" si="2"/>
        <v>0</v>
      </c>
      <c r="J50" s="313">
        <f t="shared" si="2"/>
        <v>0</v>
      </c>
      <c r="K50" s="313">
        <f t="shared" si="2"/>
        <v>0</v>
      </c>
      <c r="L50" s="313">
        <f t="shared" si="2"/>
        <v>0</v>
      </c>
      <c r="M50" s="313">
        <f t="shared" si="2"/>
        <v>1.6886270789947605E-4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1.8179690753086884E-5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3.9439013873621134E-3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1.6886270789947605E-4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5.0499140980796904</v>
      </c>
      <c r="C54" s="21">
        <f t="shared" ref="C54:P54" si="3">(C50)*10^9/3600</f>
        <v>0</v>
      </c>
      <c r="D54" s="21">
        <f t="shared" si="3"/>
        <v>0</v>
      </c>
      <c r="E54" s="21">
        <f t="shared" si="3"/>
        <v>0</v>
      </c>
      <c r="F54" s="21">
        <f t="shared" si="3"/>
        <v>0</v>
      </c>
      <c r="G54" s="21">
        <f t="shared" si="3"/>
        <v>1095.5281631561425</v>
      </c>
      <c r="H54" s="21">
        <f t="shared" si="3"/>
        <v>0</v>
      </c>
      <c r="I54" s="21">
        <f t="shared" si="3"/>
        <v>0</v>
      </c>
      <c r="J54" s="21">
        <f t="shared" si="3"/>
        <v>0</v>
      </c>
      <c r="K54" s="21">
        <f t="shared" si="3"/>
        <v>0</v>
      </c>
      <c r="L54" s="21">
        <f t="shared" si="3"/>
        <v>0</v>
      </c>
      <c r="M54" s="21">
        <f t="shared" si="3"/>
        <v>46.906307749854456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0.21277835424151514</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1.0745124108504218</v>
      </c>
      <c r="C58" s="23">
        <f t="shared" ref="C58:P58" ca="1" si="4">C54*C56</f>
        <v>0</v>
      </c>
      <c r="D58" s="23">
        <f t="shared" si="4"/>
        <v>0</v>
      </c>
      <c r="E58" s="23">
        <f t="shared" si="4"/>
        <v>0</v>
      </c>
      <c r="F58" s="23">
        <f t="shared" si="4"/>
        <v>0</v>
      </c>
      <c r="G58" s="23">
        <f t="shared" si="4"/>
        <v>292.50601956269003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2379.5248814209417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2.625</v>
      </c>
      <c r="C8" s="542">
        <f>B48</f>
        <v>2.9166666666666665</v>
      </c>
      <c r="D8" s="920"/>
      <c r="E8" s="920">
        <f>E48</f>
        <v>0</v>
      </c>
      <c r="F8" s="921"/>
      <c r="G8" s="543"/>
      <c r="H8" s="920">
        <f>I48</f>
        <v>0</v>
      </c>
      <c r="I8" s="920">
        <f>G48+F48</f>
        <v>0</v>
      </c>
      <c r="J8" s="920">
        <f>H48+D48+C48</f>
        <v>0</v>
      </c>
      <c r="K8" s="920"/>
      <c r="L8" s="920"/>
      <c r="M8" s="920"/>
      <c r="N8" s="544"/>
      <c r="O8" s="545">
        <f>C8*$C$12+D8*$D$12+E8*$E$12+F8*$F$12+G8*$G$12+H8*$H$12+I8*$I$12+J8*$J$12</f>
        <v>0.58916666666666673</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2382.1498814209417</v>
      </c>
      <c r="C10" s="554">
        <f t="shared" ref="C10:L10" si="0">SUM(C8:C9)</f>
        <v>2.9166666666666665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0.58916666666666673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13.125</v>
      </c>
      <c r="C17" s="566">
        <f>B49</f>
        <v>14.583333333333334</v>
      </c>
      <c r="D17" s="567"/>
      <c r="E17" s="567">
        <f>E49</f>
        <v>0</v>
      </c>
      <c r="F17" s="568"/>
      <c r="G17" s="569"/>
      <c r="H17" s="566">
        <f>I49</f>
        <v>0</v>
      </c>
      <c r="I17" s="567">
        <f>G49+F49</f>
        <v>0</v>
      </c>
      <c r="J17" s="567">
        <f>H49+D49+C49</f>
        <v>0</v>
      </c>
      <c r="K17" s="567"/>
      <c r="L17" s="567"/>
      <c r="M17" s="567"/>
      <c r="N17" s="916"/>
      <c r="O17" s="570">
        <f>C17*$C$22+E17*$E$22+H17*$H$22+I17*$I$22+J17*$J$22+D17*$D$22+F17*$F$22+G17*$G$22+K17*$K$22+L17*$L$22</f>
        <v>2.9458333333333337</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13.125</v>
      </c>
      <c r="C20" s="553">
        <f>SUM(C17:C19)</f>
        <v>14.583333333333334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2.9458333333333337</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12026</v>
      </c>
      <c r="C28" s="736">
        <v>2560</v>
      </c>
      <c r="D28" s="626"/>
      <c r="E28" s="625"/>
      <c r="F28" s="625"/>
      <c r="G28" s="625" t="s">
        <v>962</v>
      </c>
      <c r="H28" s="625" t="s">
        <v>962</v>
      </c>
      <c r="I28" s="625"/>
      <c r="J28" s="735"/>
      <c r="K28" s="735"/>
      <c r="L28" s="625" t="s">
        <v>963</v>
      </c>
      <c r="M28" s="625">
        <v>1</v>
      </c>
      <c r="N28" s="625">
        <v>2.625</v>
      </c>
      <c r="O28" s="625">
        <v>13.125</v>
      </c>
      <c r="P28" s="625">
        <v>17.5</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v>
      </c>
      <c r="N29" s="583">
        <f>SUM(N28:N28)</f>
        <v>2.625</v>
      </c>
      <c r="O29" s="583">
        <f>SUM(O28:O28)</f>
        <v>13.125</v>
      </c>
      <c r="P29" s="583">
        <f>SUM(P28:P28)</f>
        <v>17.5</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v>
      </c>
      <c r="N31" s="583">
        <f ca="1">SUMIF($AA$28:AE28,"tertiair",N28:N28)</f>
        <v>2.625</v>
      </c>
      <c r="O31" s="583">
        <f ca="1">SUMIF($AA$28:AF28,"tertiair",O28:O28)</f>
        <v>13.125</v>
      </c>
      <c r="P31" s="583">
        <f ca="1">SUMIF($AA$28:AG28,"tertiair",P28:P28)</f>
        <v>17.5</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0.83333333333333337</v>
      </c>
      <c r="C45" s="608">
        <f>IF(ISERROR(N29/(O29+N29)),0,N29/(N29+O29))</f>
        <v>0.16666666666666666</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2.9166666666666665</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14.583333333333334</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15103.694999999996</v>
      </c>
      <c r="D10" s="635">
        <f ca="1">tertiair!C16</f>
        <v>13.125</v>
      </c>
      <c r="E10" s="635">
        <f ca="1">tertiair!D16</f>
        <v>15016.684220000001</v>
      </c>
      <c r="F10" s="635">
        <f>tertiair!E16</f>
        <v>222.46768032540868</v>
      </c>
      <c r="G10" s="635">
        <f ca="1">tertiair!F16</f>
        <v>2829.6141535748643</v>
      </c>
      <c r="H10" s="635">
        <f>tertiair!G16</f>
        <v>0</v>
      </c>
      <c r="I10" s="635">
        <f>tertiair!H16</f>
        <v>0</v>
      </c>
      <c r="J10" s="635">
        <f>tertiair!I16</f>
        <v>0</v>
      </c>
      <c r="K10" s="635">
        <f>tertiair!J16</f>
        <v>0</v>
      </c>
      <c r="L10" s="635">
        <f>tertiair!K16</f>
        <v>0</v>
      </c>
      <c r="M10" s="635">
        <f ca="1">tertiair!L16</f>
        <v>0</v>
      </c>
      <c r="N10" s="635">
        <f>tertiair!M16</f>
        <v>0</v>
      </c>
      <c r="O10" s="635">
        <f ca="1">tertiair!N16</f>
        <v>707.59966294272431</v>
      </c>
      <c r="P10" s="635">
        <f>tertiair!O16</f>
        <v>0</v>
      </c>
      <c r="Q10" s="636">
        <f>tertiair!P16</f>
        <v>0</v>
      </c>
      <c r="R10" s="638">
        <f ca="1">SUM(C10:Q10)</f>
        <v>33893.185716842992</v>
      </c>
      <c r="S10" s="67"/>
    </row>
    <row r="11" spans="1:19" s="441" customFormat="1">
      <c r="A11" s="749" t="s">
        <v>214</v>
      </c>
      <c r="B11" s="754"/>
      <c r="C11" s="635">
        <f>huishoudens!B8</f>
        <v>39794.813846875724</v>
      </c>
      <c r="D11" s="635">
        <f>huishoudens!C8</f>
        <v>0</v>
      </c>
      <c r="E11" s="635">
        <f>huishoudens!D8</f>
        <v>132393.637838</v>
      </c>
      <c r="F11" s="635">
        <f>huishoudens!E8</f>
        <v>873.29460534988254</v>
      </c>
      <c r="G11" s="635">
        <f>huishoudens!F8</f>
        <v>29809.383570585771</v>
      </c>
      <c r="H11" s="635">
        <f>huishoudens!G8</f>
        <v>0</v>
      </c>
      <c r="I11" s="635">
        <f>huishoudens!H8</f>
        <v>0</v>
      </c>
      <c r="J11" s="635">
        <f>huishoudens!I8</f>
        <v>0</v>
      </c>
      <c r="K11" s="635">
        <f>huishoudens!J8</f>
        <v>671.23174266149249</v>
      </c>
      <c r="L11" s="635">
        <f>huishoudens!K8</f>
        <v>0</v>
      </c>
      <c r="M11" s="635">
        <f>huishoudens!L8</f>
        <v>0</v>
      </c>
      <c r="N11" s="635">
        <f>huishoudens!M8</f>
        <v>0</v>
      </c>
      <c r="O11" s="635">
        <f>huishoudens!N8</f>
        <v>10003.450278849024</v>
      </c>
      <c r="P11" s="635">
        <f>huishoudens!O8</f>
        <v>118.81333333333333</v>
      </c>
      <c r="Q11" s="636">
        <f>huishoudens!P8</f>
        <v>286</v>
      </c>
      <c r="R11" s="638">
        <f>SUM(C11:Q11)</f>
        <v>213950.62521565522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6897.7119999999995</v>
      </c>
      <c r="D13" s="635">
        <f>industrie!C18</f>
        <v>0</v>
      </c>
      <c r="E13" s="635">
        <f>industrie!D18</f>
        <v>15297.099180000001</v>
      </c>
      <c r="F13" s="635">
        <f>industrie!E18</f>
        <v>66.626463219837078</v>
      </c>
      <c r="G13" s="635">
        <f>industrie!F18</f>
        <v>1874.2309473338498</v>
      </c>
      <c r="H13" s="635">
        <f>industrie!G18</f>
        <v>0</v>
      </c>
      <c r="I13" s="635">
        <f>industrie!H18</f>
        <v>0</v>
      </c>
      <c r="J13" s="635">
        <f>industrie!I18</f>
        <v>0</v>
      </c>
      <c r="K13" s="635">
        <f>industrie!J18</f>
        <v>83.333505069308643</v>
      </c>
      <c r="L13" s="635">
        <f>industrie!K18</f>
        <v>0</v>
      </c>
      <c r="M13" s="635">
        <f>industrie!L18</f>
        <v>0</v>
      </c>
      <c r="N13" s="635">
        <f>industrie!M18</f>
        <v>0</v>
      </c>
      <c r="O13" s="635">
        <f>industrie!N18</f>
        <v>152.51491195818704</v>
      </c>
      <c r="P13" s="635">
        <f>industrie!O18</f>
        <v>0</v>
      </c>
      <c r="Q13" s="636">
        <f>industrie!P18</f>
        <v>0</v>
      </c>
      <c r="R13" s="638">
        <f>SUM(C13:Q13)</f>
        <v>24371.517007581184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61796.220846875716</v>
      </c>
      <c r="D16" s="668">
        <f t="shared" ref="D16:R16" ca="1" si="0">SUM(D9:D15)</f>
        <v>13.125</v>
      </c>
      <c r="E16" s="668">
        <f t="shared" ca="1" si="0"/>
        <v>162707.42123799998</v>
      </c>
      <c r="F16" s="668">
        <f t="shared" si="0"/>
        <v>1162.3887488951282</v>
      </c>
      <c r="G16" s="668">
        <f t="shared" ca="1" si="0"/>
        <v>34513.228671494486</v>
      </c>
      <c r="H16" s="668">
        <f t="shared" si="0"/>
        <v>0</v>
      </c>
      <c r="I16" s="668">
        <f t="shared" si="0"/>
        <v>0</v>
      </c>
      <c r="J16" s="668">
        <f t="shared" si="0"/>
        <v>0</v>
      </c>
      <c r="K16" s="668">
        <f t="shared" si="0"/>
        <v>754.56524773080116</v>
      </c>
      <c r="L16" s="668">
        <f t="shared" si="0"/>
        <v>0</v>
      </c>
      <c r="M16" s="668">
        <f t="shared" ca="1" si="0"/>
        <v>0</v>
      </c>
      <c r="N16" s="668">
        <f t="shared" si="0"/>
        <v>0</v>
      </c>
      <c r="O16" s="668">
        <f t="shared" ca="1" si="0"/>
        <v>10863.564853749936</v>
      </c>
      <c r="P16" s="668">
        <f t="shared" si="0"/>
        <v>118.81333333333333</v>
      </c>
      <c r="Q16" s="668">
        <f t="shared" si="0"/>
        <v>286</v>
      </c>
      <c r="R16" s="668">
        <f t="shared" ca="1" si="0"/>
        <v>272215.32794007938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5.0499140980796904</v>
      </c>
      <c r="D19" s="635">
        <f>transport!C54</f>
        <v>0</v>
      </c>
      <c r="E19" s="635">
        <f>transport!D54</f>
        <v>0</v>
      </c>
      <c r="F19" s="635">
        <f>transport!E54</f>
        <v>0</v>
      </c>
      <c r="G19" s="635">
        <f>transport!F54</f>
        <v>0</v>
      </c>
      <c r="H19" s="635">
        <f>transport!G54</f>
        <v>1095.5281631561425</v>
      </c>
      <c r="I19" s="635">
        <f>transport!H54</f>
        <v>0</v>
      </c>
      <c r="J19" s="635">
        <f>transport!I54</f>
        <v>0</v>
      </c>
      <c r="K19" s="635">
        <f>transport!J54</f>
        <v>0</v>
      </c>
      <c r="L19" s="635">
        <f>transport!K54</f>
        <v>0</v>
      </c>
      <c r="M19" s="635">
        <f>transport!L54</f>
        <v>0</v>
      </c>
      <c r="N19" s="635">
        <f>transport!M54</f>
        <v>46.906307749854456</v>
      </c>
      <c r="O19" s="635">
        <f>transport!N54</f>
        <v>0</v>
      </c>
      <c r="P19" s="635">
        <f>transport!O54</f>
        <v>0</v>
      </c>
      <c r="Q19" s="636">
        <f>transport!P54</f>
        <v>0</v>
      </c>
      <c r="R19" s="638">
        <f>SUM(C19:Q19)</f>
        <v>1147.4843850040766</v>
      </c>
      <c r="S19" s="67"/>
    </row>
    <row r="20" spans="1:19" s="441" customFormat="1">
      <c r="A20" s="749" t="s">
        <v>296</v>
      </c>
      <c r="B20" s="754"/>
      <c r="C20" s="635">
        <f>transport!B14</f>
        <v>0.66104609892330657</v>
      </c>
      <c r="D20" s="635">
        <f>transport!C14</f>
        <v>0</v>
      </c>
      <c r="E20" s="635">
        <f>transport!D14</f>
        <v>2.1815663369676952</v>
      </c>
      <c r="F20" s="635">
        <f>transport!E14</f>
        <v>223.93931819805326</v>
      </c>
      <c r="G20" s="635">
        <f>transport!F14</f>
        <v>0</v>
      </c>
      <c r="H20" s="635">
        <f>transport!G14</f>
        <v>41420.482643293595</v>
      </c>
      <c r="I20" s="635">
        <f>transport!H14</f>
        <v>7512.8378926880641</v>
      </c>
      <c r="J20" s="635">
        <f>transport!I14</f>
        <v>0</v>
      </c>
      <c r="K20" s="635">
        <f>transport!J14</f>
        <v>0</v>
      </c>
      <c r="L20" s="635">
        <f>transport!K14</f>
        <v>0</v>
      </c>
      <c r="M20" s="635">
        <f>transport!L14</f>
        <v>0</v>
      </c>
      <c r="N20" s="635">
        <f>transport!M14</f>
        <v>2130.1391510910162</v>
      </c>
      <c r="O20" s="635">
        <f>transport!N14</f>
        <v>0</v>
      </c>
      <c r="P20" s="635">
        <f>transport!O14</f>
        <v>0</v>
      </c>
      <c r="Q20" s="636">
        <f>transport!P14</f>
        <v>0</v>
      </c>
      <c r="R20" s="638">
        <f>SUM(C20:Q20)</f>
        <v>51290.241617706619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5.7109601970029971</v>
      </c>
      <c r="D22" s="752">
        <f t="shared" ref="D22:R22" si="1">SUM(D18:D21)</f>
        <v>0</v>
      </c>
      <c r="E22" s="752">
        <f t="shared" si="1"/>
        <v>2.1815663369676952</v>
      </c>
      <c r="F22" s="752">
        <f t="shared" si="1"/>
        <v>223.93931819805326</v>
      </c>
      <c r="G22" s="752">
        <f t="shared" si="1"/>
        <v>0</v>
      </c>
      <c r="H22" s="752">
        <f t="shared" si="1"/>
        <v>42516.01080644974</v>
      </c>
      <c r="I22" s="752">
        <f t="shared" si="1"/>
        <v>7512.8378926880641</v>
      </c>
      <c r="J22" s="752">
        <f t="shared" si="1"/>
        <v>0</v>
      </c>
      <c r="K22" s="752">
        <f t="shared" si="1"/>
        <v>0</v>
      </c>
      <c r="L22" s="752">
        <f t="shared" si="1"/>
        <v>0</v>
      </c>
      <c r="M22" s="752">
        <f t="shared" si="1"/>
        <v>0</v>
      </c>
      <c r="N22" s="752">
        <f t="shared" si="1"/>
        <v>2177.0454588408707</v>
      </c>
      <c r="O22" s="752">
        <f t="shared" si="1"/>
        <v>0</v>
      </c>
      <c r="P22" s="752">
        <f t="shared" si="1"/>
        <v>0</v>
      </c>
      <c r="Q22" s="752">
        <f t="shared" si="1"/>
        <v>0</v>
      </c>
      <c r="R22" s="752">
        <f t="shared" si="1"/>
        <v>52437.726002710697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577.375</v>
      </c>
      <c r="D24" s="635">
        <f>+landbouw!C8</f>
        <v>0</v>
      </c>
      <c r="E24" s="635">
        <f>+landbouw!D8</f>
        <v>195.28480400000001</v>
      </c>
      <c r="F24" s="635">
        <f>+landbouw!E8</f>
        <v>5.2028813743029705</v>
      </c>
      <c r="G24" s="635">
        <f>+landbouw!F8</f>
        <v>2163.4417343543882</v>
      </c>
      <c r="H24" s="635">
        <f>+landbouw!G8</f>
        <v>0</v>
      </c>
      <c r="I24" s="635">
        <f>+landbouw!H8</f>
        <v>0</v>
      </c>
      <c r="J24" s="635">
        <f>+landbouw!I8</f>
        <v>0</v>
      </c>
      <c r="K24" s="635">
        <f>+landbouw!J8</f>
        <v>58.427962043679543</v>
      </c>
      <c r="L24" s="635">
        <f>+landbouw!K8</f>
        <v>0</v>
      </c>
      <c r="M24" s="635">
        <f>+landbouw!L8</f>
        <v>0</v>
      </c>
      <c r="N24" s="635">
        <f>+landbouw!M8</f>
        <v>0</v>
      </c>
      <c r="O24" s="635">
        <f>+landbouw!N8</f>
        <v>0</v>
      </c>
      <c r="P24" s="635">
        <f>+landbouw!O8</f>
        <v>0</v>
      </c>
      <c r="Q24" s="636">
        <f>+landbouw!P8</f>
        <v>0</v>
      </c>
      <c r="R24" s="638">
        <f>SUM(C24:Q24)</f>
        <v>2999.7323817723709</v>
      </c>
      <c r="S24" s="67"/>
    </row>
    <row r="25" spans="1:19" s="441" customFormat="1" ht="15" thickBot="1">
      <c r="A25" s="771" t="s">
        <v>864</v>
      </c>
      <c r="B25" s="923"/>
      <c r="C25" s="924">
        <f>IF(Onbekend_ele_kWh="---",0,Onbekend_ele_kWh)/1000+IF(REST_rest_ele_kWh="---",0,REST_rest_ele_kWh)/1000</f>
        <v>1581.848</v>
      </c>
      <c r="D25" s="924"/>
      <c r="E25" s="924">
        <f>IF(onbekend_gas_kWh="---",0,onbekend_gas_kWh)/1000+IF(REST_rest_gas_kWh="---",0,REST_rest_gas_kWh)/1000</f>
        <v>2241.6190000000001</v>
      </c>
      <c r="F25" s="924"/>
      <c r="G25" s="924"/>
      <c r="H25" s="924"/>
      <c r="I25" s="924"/>
      <c r="J25" s="924"/>
      <c r="K25" s="924"/>
      <c r="L25" s="924"/>
      <c r="M25" s="924"/>
      <c r="N25" s="924"/>
      <c r="O25" s="924"/>
      <c r="P25" s="924"/>
      <c r="Q25" s="925"/>
      <c r="R25" s="638">
        <f>SUM(C25:Q25)</f>
        <v>3823.4670000000001</v>
      </c>
      <c r="S25" s="67"/>
    </row>
    <row r="26" spans="1:19" s="441" customFormat="1" ht="15.75" thickBot="1">
      <c r="A26" s="641" t="s">
        <v>865</v>
      </c>
      <c r="B26" s="757"/>
      <c r="C26" s="752">
        <f>SUM(C24:C25)</f>
        <v>2159.223</v>
      </c>
      <c r="D26" s="752">
        <f t="shared" ref="D26:R26" si="2">SUM(D24:D25)</f>
        <v>0</v>
      </c>
      <c r="E26" s="752">
        <f t="shared" si="2"/>
        <v>2436.903804</v>
      </c>
      <c r="F26" s="752">
        <f t="shared" si="2"/>
        <v>5.2028813743029705</v>
      </c>
      <c r="G26" s="752">
        <f t="shared" si="2"/>
        <v>2163.4417343543882</v>
      </c>
      <c r="H26" s="752">
        <f t="shared" si="2"/>
        <v>0</v>
      </c>
      <c r="I26" s="752">
        <f t="shared" si="2"/>
        <v>0</v>
      </c>
      <c r="J26" s="752">
        <f t="shared" si="2"/>
        <v>0</v>
      </c>
      <c r="K26" s="752">
        <f t="shared" si="2"/>
        <v>58.427962043679543</v>
      </c>
      <c r="L26" s="752">
        <f t="shared" si="2"/>
        <v>0</v>
      </c>
      <c r="M26" s="752">
        <f t="shared" si="2"/>
        <v>0</v>
      </c>
      <c r="N26" s="752">
        <f t="shared" si="2"/>
        <v>0</v>
      </c>
      <c r="O26" s="752">
        <f t="shared" si="2"/>
        <v>0</v>
      </c>
      <c r="P26" s="752">
        <f t="shared" si="2"/>
        <v>0</v>
      </c>
      <c r="Q26" s="752">
        <f t="shared" si="2"/>
        <v>0</v>
      </c>
      <c r="R26" s="752">
        <f t="shared" si="2"/>
        <v>6823.1993817723705</v>
      </c>
      <c r="S26" s="67"/>
    </row>
    <row r="27" spans="1:19" s="441" customFormat="1" ht="17.25" thickTop="1" thickBot="1">
      <c r="A27" s="642" t="s">
        <v>109</v>
      </c>
      <c r="B27" s="744"/>
      <c r="C27" s="643">
        <f ca="1">C22+C16+C26</f>
        <v>63961.154807072715</v>
      </c>
      <c r="D27" s="643">
        <f t="shared" ref="D27:R27" ca="1" si="3">D22+D16+D26</f>
        <v>13.125</v>
      </c>
      <c r="E27" s="643">
        <f t="shared" ca="1" si="3"/>
        <v>165146.50660833696</v>
      </c>
      <c r="F27" s="643">
        <f t="shared" si="3"/>
        <v>1391.5309484674844</v>
      </c>
      <c r="G27" s="643">
        <f t="shared" ca="1" si="3"/>
        <v>36676.670405848876</v>
      </c>
      <c r="H27" s="643">
        <f t="shared" si="3"/>
        <v>42516.01080644974</v>
      </c>
      <c r="I27" s="643">
        <f t="shared" si="3"/>
        <v>7512.8378926880641</v>
      </c>
      <c r="J27" s="643">
        <f t="shared" si="3"/>
        <v>0</v>
      </c>
      <c r="K27" s="643">
        <f t="shared" si="3"/>
        <v>812.99320977448065</v>
      </c>
      <c r="L27" s="643">
        <f t="shared" si="3"/>
        <v>0</v>
      </c>
      <c r="M27" s="643">
        <f t="shared" ca="1" si="3"/>
        <v>0</v>
      </c>
      <c r="N27" s="643">
        <f t="shared" si="3"/>
        <v>2177.0454588408707</v>
      </c>
      <c r="O27" s="643">
        <f t="shared" ca="1" si="3"/>
        <v>10863.564853749936</v>
      </c>
      <c r="P27" s="643">
        <f t="shared" si="3"/>
        <v>118.81333333333333</v>
      </c>
      <c r="Q27" s="643">
        <f t="shared" si="3"/>
        <v>286</v>
      </c>
      <c r="R27" s="643">
        <f t="shared" ca="1" si="3"/>
        <v>331476.25332456245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3213.7393650658005</v>
      </c>
      <c r="D40" s="635">
        <f ca="1">tertiair!C20</f>
        <v>2.9458333333333337</v>
      </c>
      <c r="E40" s="635">
        <f ca="1">tertiair!D20</f>
        <v>3033.3702124400006</v>
      </c>
      <c r="F40" s="635">
        <f>tertiair!E20</f>
        <v>50.500163433867769</v>
      </c>
      <c r="G40" s="635">
        <f ca="1">tertiair!F20</f>
        <v>755.50697900448881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7056.0625532774911</v>
      </c>
    </row>
    <row r="41" spans="1:18">
      <c r="A41" s="762" t="s">
        <v>214</v>
      </c>
      <c r="B41" s="769"/>
      <c r="C41" s="635">
        <f ca="1">huishoudens!B12</f>
        <v>8467.4749976856747</v>
      </c>
      <c r="D41" s="635">
        <f ca="1">huishoudens!C12</f>
        <v>0</v>
      </c>
      <c r="E41" s="635">
        <f>huishoudens!D12</f>
        <v>26743.514843276</v>
      </c>
      <c r="F41" s="635">
        <f>huishoudens!E12</f>
        <v>198.23787541442334</v>
      </c>
      <c r="G41" s="635">
        <f>huishoudens!F12</f>
        <v>7959.1054133464013</v>
      </c>
      <c r="H41" s="635">
        <f>huishoudens!G12</f>
        <v>0</v>
      </c>
      <c r="I41" s="635">
        <f>huishoudens!H12</f>
        <v>0</v>
      </c>
      <c r="J41" s="635">
        <f>huishoudens!I12</f>
        <v>0</v>
      </c>
      <c r="K41" s="635">
        <f>huishoudens!J12</f>
        <v>237.61603690216833</v>
      </c>
      <c r="L41" s="635">
        <f>huishoudens!K12</f>
        <v>0</v>
      </c>
      <c r="M41" s="635">
        <f>huishoudens!L12</f>
        <v>0</v>
      </c>
      <c r="N41" s="635">
        <f>huishoudens!M12</f>
        <v>0</v>
      </c>
      <c r="O41" s="635">
        <f>huishoudens!N12</f>
        <v>0</v>
      </c>
      <c r="P41" s="635">
        <f>huishoudens!O12</f>
        <v>0</v>
      </c>
      <c r="Q41" s="710">
        <f>huishoudens!P12</f>
        <v>0</v>
      </c>
      <c r="R41" s="790">
        <f t="shared" ca="1" si="4"/>
        <v>43605.949166624661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1467.6838073919498</v>
      </c>
      <c r="D43" s="635">
        <f ca="1">industrie!C22</f>
        <v>0</v>
      </c>
      <c r="E43" s="635">
        <f>industrie!D22</f>
        <v>3090.0140343600006</v>
      </c>
      <c r="F43" s="635">
        <f>industrie!E22</f>
        <v>15.124207150903016</v>
      </c>
      <c r="G43" s="635">
        <f>industrie!F22</f>
        <v>500.41966293813795</v>
      </c>
      <c r="H43" s="635">
        <f>industrie!G22</f>
        <v>0</v>
      </c>
      <c r="I43" s="635">
        <f>industrie!H22</f>
        <v>0</v>
      </c>
      <c r="J43" s="635">
        <f>industrie!I22</f>
        <v>0</v>
      </c>
      <c r="K43" s="635">
        <f>industrie!J22</f>
        <v>29.500060794535258</v>
      </c>
      <c r="L43" s="635">
        <f>industrie!K22</f>
        <v>0</v>
      </c>
      <c r="M43" s="635">
        <f>industrie!L22</f>
        <v>0</v>
      </c>
      <c r="N43" s="635">
        <f>industrie!M22</f>
        <v>0</v>
      </c>
      <c r="O43" s="635">
        <f>industrie!N22</f>
        <v>0</v>
      </c>
      <c r="P43" s="635">
        <f>industrie!O22</f>
        <v>0</v>
      </c>
      <c r="Q43" s="710">
        <f>industrie!P22</f>
        <v>0</v>
      </c>
      <c r="R43" s="789">
        <f t="shared" ca="1" si="4"/>
        <v>5102.7417726355261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13148.898170143424</v>
      </c>
      <c r="D46" s="668">
        <f t="shared" ref="D46:Q46" ca="1" si="5">SUM(D39:D45)</f>
        <v>2.9458333333333337</v>
      </c>
      <c r="E46" s="668">
        <f t="shared" ca="1" si="5"/>
        <v>32866.899090076004</v>
      </c>
      <c r="F46" s="668">
        <f t="shared" si="5"/>
        <v>263.86224599919416</v>
      </c>
      <c r="G46" s="668">
        <f t="shared" ca="1" si="5"/>
        <v>9215.032055289028</v>
      </c>
      <c r="H46" s="668">
        <f t="shared" si="5"/>
        <v>0</v>
      </c>
      <c r="I46" s="668">
        <f t="shared" si="5"/>
        <v>0</v>
      </c>
      <c r="J46" s="668">
        <f t="shared" si="5"/>
        <v>0</v>
      </c>
      <c r="K46" s="668">
        <f t="shared" si="5"/>
        <v>267.1160976967036</v>
      </c>
      <c r="L46" s="668">
        <f t="shared" si="5"/>
        <v>0</v>
      </c>
      <c r="M46" s="668">
        <f t="shared" ca="1" si="5"/>
        <v>0</v>
      </c>
      <c r="N46" s="668">
        <f t="shared" si="5"/>
        <v>0</v>
      </c>
      <c r="O46" s="668">
        <f t="shared" ca="1" si="5"/>
        <v>0</v>
      </c>
      <c r="P46" s="668">
        <f t="shared" si="5"/>
        <v>0</v>
      </c>
      <c r="Q46" s="668">
        <f t="shared" si="5"/>
        <v>0</v>
      </c>
      <c r="R46" s="668">
        <f ca="1">SUM(R39:R45)</f>
        <v>55764.753492537682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1.0745124108504218</v>
      </c>
      <c r="D49" s="635">
        <f ca="1">transport!C58</f>
        <v>0</v>
      </c>
      <c r="E49" s="635">
        <f>transport!D58</f>
        <v>0</v>
      </c>
      <c r="F49" s="635">
        <f>transport!E58</f>
        <v>0</v>
      </c>
      <c r="G49" s="635">
        <f>transport!F58</f>
        <v>0</v>
      </c>
      <c r="H49" s="635">
        <f>transport!G58</f>
        <v>292.50601956269003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293.58053197354047</v>
      </c>
    </row>
    <row r="50" spans="1:18">
      <c r="A50" s="765" t="s">
        <v>296</v>
      </c>
      <c r="B50" s="775"/>
      <c r="C50" s="930">
        <f ca="1">transport!B18</f>
        <v>0.14065630100667498</v>
      </c>
      <c r="D50" s="930">
        <f>transport!C18</f>
        <v>0</v>
      </c>
      <c r="E50" s="930">
        <f>transport!D18</f>
        <v>0.44067640006747444</v>
      </c>
      <c r="F50" s="930">
        <f>transport!E18</f>
        <v>50.83422523095809</v>
      </c>
      <c r="G50" s="930">
        <f>transport!F18</f>
        <v>0</v>
      </c>
      <c r="H50" s="930">
        <f>transport!G18</f>
        <v>11059.26886575939</v>
      </c>
      <c r="I50" s="930">
        <f>transport!H18</f>
        <v>1870.6966352793279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12981.38105897075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1.2151687118570969</v>
      </c>
      <c r="D52" s="668">
        <f t="shared" ref="D52:Q52" ca="1" si="6">SUM(D48:D51)</f>
        <v>0</v>
      </c>
      <c r="E52" s="668">
        <f t="shared" si="6"/>
        <v>0.44067640006747444</v>
      </c>
      <c r="F52" s="668">
        <f t="shared" si="6"/>
        <v>50.83422523095809</v>
      </c>
      <c r="G52" s="668">
        <f t="shared" si="6"/>
        <v>0</v>
      </c>
      <c r="H52" s="668">
        <f t="shared" si="6"/>
        <v>11351.77488532208</v>
      </c>
      <c r="I52" s="668">
        <f t="shared" si="6"/>
        <v>1870.6966352793279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13274.961590944291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122.85290228019481</v>
      </c>
      <c r="D54" s="930">
        <f ca="1">+landbouw!C12</f>
        <v>0</v>
      </c>
      <c r="E54" s="930">
        <f>+landbouw!D12</f>
        <v>39.447530408000006</v>
      </c>
      <c r="F54" s="930">
        <f>+landbouw!E12</f>
        <v>1.1810540719667744</v>
      </c>
      <c r="G54" s="930">
        <f>+landbouw!F12</f>
        <v>577.63894307262171</v>
      </c>
      <c r="H54" s="930">
        <f>+landbouw!G12</f>
        <v>0</v>
      </c>
      <c r="I54" s="930">
        <f>+landbouw!H12</f>
        <v>0</v>
      </c>
      <c r="J54" s="930">
        <f>+landbouw!I12</f>
        <v>0</v>
      </c>
      <c r="K54" s="930">
        <f>+landbouw!J12</f>
        <v>20.683498563462557</v>
      </c>
      <c r="L54" s="930">
        <f>+landbouw!K12</f>
        <v>0</v>
      </c>
      <c r="M54" s="930">
        <f>+landbouw!L12</f>
        <v>0</v>
      </c>
      <c r="N54" s="930">
        <f>+landbouw!M12</f>
        <v>0</v>
      </c>
      <c r="O54" s="930">
        <f>+landbouw!N12</f>
        <v>0</v>
      </c>
      <c r="P54" s="930">
        <f>+landbouw!O12</f>
        <v>0</v>
      </c>
      <c r="Q54" s="931">
        <f>+landbouw!P12</f>
        <v>0</v>
      </c>
      <c r="R54" s="667">
        <f ca="1">SUM(C54:Q54)</f>
        <v>761.80392839624585</v>
      </c>
    </row>
    <row r="55" spans="1:18" ht="15" thickBot="1">
      <c r="A55" s="765" t="s">
        <v>864</v>
      </c>
      <c r="B55" s="775"/>
      <c r="C55" s="930">
        <f ca="1">C25*'EF ele_warmte'!B12</f>
        <v>336.58301410023222</v>
      </c>
      <c r="D55" s="930"/>
      <c r="E55" s="930">
        <f>E25*EF_CO2_aardgas</f>
        <v>452.80703800000003</v>
      </c>
      <c r="F55" s="930"/>
      <c r="G55" s="930"/>
      <c r="H55" s="930"/>
      <c r="I55" s="930"/>
      <c r="J55" s="930"/>
      <c r="K55" s="930"/>
      <c r="L55" s="930"/>
      <c r="M55" s="930"/>
      <c r="N55" s="930"/>
      <c r="O55" s="930"/>
      <c r="P55" s="930"/>
      <c r="Q55" s="931"/>
      <c r="R55" s="667">
        <f ca="1">SUM(C55:Q55)</f>
        <v>789.3900521002322</v>
      </c>
    </row>
    <row r="56" spans="1:18" ht="15.75" thickBot="1">
      <c r="A56" s="763" t="s">
        <v>865</v>
      </c>
      <c r="B56" s="776"/>
      <c r="C56" s="668">
        <f ca="1">SUM(C54:C55)</f>
        <v>459.43591638042705</v>
      </c>
      <c r="D56" s="668">
        <f t="shared" ref="D56:Q56" ca="1" si="7">SUM(D54:D55)</f>
        <v>0</v>
      </c>
      <c r="E56" s="668">
        <f t="shared" si="7"/>
        <v>492.25456840800007</v>
      </c>
      <c r="F56" s="668">
        <f t="shared" si="7"/>
        <v>1.1810540719667744</v>
      </c>
      <c r="G56" s="668">
        <f t="shared" si="7"/>
        <v>577.63894307262171</v>
      </c>
      <c r="H56" s="668">
        <f t="shared" si="7"/>
        <v>0</v>
      </c>
      <c r="I56" s="668">
        <f t="shared" si="7"/>
        <v>0</v>
      </c>
      <c r="J56" s="668">
        <f t="shared" si="7"/>
        <v>0</v>
      </c>
      <c r="K56" s="668">
        <f t="shared" si="7"/>
        <v>20.683498563462557</v>
      </c>
      <c r="L56" s="668">
        <f t="shared" si="7"/>
        <v>0</v>
      </c>
      <c r="M56" s="668">
        <f t="shared" si="7"/>
        <v>0</v>
      </c>
      <c r="N56" s="668">
        <f t="shared" si="7"/>
        <v>0</v>
      </c>
      <c r="O56" s="668">
        <f t="shared" si="7"/>
        <v>0</v>
      </c>
      <c r="P56" s="668">
        <f t="shared" si="7"/>
        <v>0</v>
      </c>
      <c r="Q56" s="669">
        <f t="shared" si="7"/>
        <v>0</v>
      </c>
      <c r="R56" s="670">
        <f ca="1">SUM(R54:R55)</f>
        <v>1551.1939804964782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13609.549255235708</v>
      </c>
      <c r="D61" s="676">
        <f t="shared" ref="D61:Q61" ca="1" si="8">D46+D52+D56</f>
        <v>2.9458333333333337</v>
      </c>
      <c r="E61" s="676">
        <f t="shared" ca="1" si="8"/>
        <v>33359.594334884074</v>
      </c>
      <c r="F61" s="676">
        <f t="shared" si="8"/>
        <v>315.87752530211907</v>
      </c>
      <c r="G61" s="676">
        <f t="shared" ca="1" si="8"/>
        <v>9792.6709983616493</v>
      </c>
      <c r="H61" s="676">
        <f t="shared" si="8"/>
        <v>11351.77488532208</v>
      </c>
      <c r="I61" s="676">
        <f t="shared" si="8"/>
        <v>1870.6966352793279</v>
      </c>
      <c r="J61" s="676">
        <f t="shared" si="8"/>
        <v>0</v>
      </c>
      <c r="K61" s="676">
        <f t="shared" si="8"/>
        <v>287.79959626016614</v>
      </c>
      <c r="L61" s="676">
        <f t="shared" si="8"/>
        <v>0</v>
      </c>
      <c r="M61" s="676">
        <f t="shared" ca="1" si="8"/>
        <v>0</v>
      </c>
      <c r="N61" s="676">
        <f t="shared" si="8"/>
        <v>0</v>
      </c>
      <c r="O61" s="676">
        <f t="shared" ca="1" si="8"/>
        <v>0</v>
      </c>
      <c r="P61" s="676">
        <f t="shared" si="8"/>
        <v>0</v>
      </c>
      <c r="Q61" s="676">
        <f t="shared" si="8"/>
        <v>0</v>
      </c>
      <c r="R61" s="676">
        <f ca="1">R46+R52+R56</f>
        <v>70590.909063978455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0.21277835424151514</v>
      </c>
      <c r="D63" s="720">
        <f t="shared" ca="1" si="9"/>
        <v>0.22444444444444447</v>
      </c>
      <c r="E63" s="932">
        <f t="shared" ca="1" si="9"/>
        <v>0.20200000000000004</v>
      </c>
      <c r="F63" s="720">
        <f t="shared" si="9"/>
        <v>0.22700000000000006</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2379.5248814209417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2.625</v>
      </c>
      <c r="D76" s="942">
        <f>'lokale energieproductie'!C8</f>
        <v>2.9166666666666665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0.58916666666666673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2379.5248814209417</v>
      </c>
      <c r="C78" s="691">
        <f>SUM(C72:C77)</f>
        <v>2.625</v>
      </c>
      <c r="D78" s="692">
        <f t="shared" ref="D78:H78" si="10">SUM(D76:D77)</f>
        <v>2.9166666666666665</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0.58916666666666673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13.125</v>
      </c>
      <c r="D87" s="713">
        <f>'lokale energieproductie'!C17</f>
        <v>14.583333333333334</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2.9458333333333337</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13.125</v>
      </c>
      <c r="D90" s="691">
        <f t="shared" ref="D90:H90" si="12">SUM(D87:D89)</f>
        <v>14.583333333333334</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2.9458333333333337</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39794.813846875724</v>
      </c>
      <c r="C4" s="445">
        <f>huishoudens!C8</f>
        <v>0</v>
      </c>
      <c r="D4" s="445">
        <f>huishoudens!D8</f>
        <v>132393.637838</v>
      </c>
      <c r="E4" s="445">
        <f>huishoudens!E8</f>
        <v>873.29460534988254</v>
      </c>
      <c r="F4" s="445">
        <f>huishoudens!F8</f>
        <v>29809.383570585771</v>
      </c>
      <c r="G4" s="445">
        <f>huishoudens!G8</f>
        <v>0</v>
      </c>
      <c r="H4" s="445">
        <f>huishoudens!H8</f>
        <v>0</v>
      </c>
      <c r="I4" s="445">
        <f>huishoudens!I8</f>
        <v>0</v>
      </c>
      <c r="J4" s="445">
        <f>huishoudens!J8</f>
        <v>671.23174266149249</v>
      </c>
      <c r="K4" s="445">
        <f>huishoudens!K8</f>
        <v>0</v>
      </c>
      <c r="L4" s="445">
        <f>huishoudens!L8</f>
        <v>0</v>
      </c>
      <c r="M4" s="445">
        <f>huishoudens!M8</f>
        <v>0</v>
      </c>
      <c r="N4" s="445">
        <f>huishoudens!N8</f>
        <v>10003.450278849024</v>
      </c>
      <c r="O4" s="445">
        <f>huishoudens!O8</f>
        <v>118.81333333333333</v>
      </c>
      <c r="P4" s="446">
        <f>huishoudens!P8</f>
        <v>286</v>
      </c>
      <c r="Q4" s="447">
        <f>SUM(B4:P4)</f>
        <v>213950.62521565522</v>
      </c>
    </row>
    <row r="5" spans="1:17">
      <c r="A5" s="444" t="s">
        <v>149</v>
      </c>
      <c r="B5" s="445">
        <f ca="1">tertiair!B16</f>
        <v>13945.074999999997</v>
      </c>
      <c r="C5" s="445">
        <f ca="1">tertiair!C16</f>
        <v>13.125</v>
      </c>
      <c r="D5" s="445">
        <f ca="1">tertiair!D16</f>
        <v>15016.684220000001</v>
      </c>
      <c r="E5" s="445">
        <f>tertiair!E16</f>
        <v>222.46768032540868</v>
      </c>
      <c r="F5" s="445">
        <f ca="1">tertiair!F16</f>
        <v>2829.6141535748643</v>
      </c>
      <c r="G5" s="445">
        <f>tertiair!G16</f>
        <v>0</v>
      </c>
      <c r="H5" s="445">
        <f>tertiair!H16</f>
        <v>0</v>
      </c>
      <c r="I5" s="445">
        <f>tertiair!I16</f>
        <v>0</v>
      </c>
      <c r="J5" s="445">
        <f>tertiair!J16</f>
        <v>0</v>
      </c>
      <c r="K5" s="445">
        <f>tertiair!K16</f>
        <v>0</v>
      </c>
      <c r="L5" s="445">
        <f ca="1">tertiair!L16</f>
        <v>0</v>
      </c>
      <c r="M5" s="445">
        <f>tertiair!M16</f>
        <v>0</v>
      </c>
      <c r="N5" s="445">
        <f ca="1">tertiair!N16</f>
        <v>707.59966294272431</v>
      </c>
      <c r="O5" s="445">
        <f>tertiair!O16</f>
        <v>0</v>
      </c>
      <c r="P5" s="446">
        <f>tertiair!P16</f>
        <v>0</v>
      </c>
      <c r="Q5" s="444">
        <f t="shared" ref="Q5:Q14" ca="1" si="0">SUM(B5:P5)</f>
        <v>32734.565716842997</v>
      </c>
    </row>
    <row r="6" spans="1:17">
      <c r="A6" s="444" t="s">
        <v>187</v>
      </c>
      <c r="B6" s="445">
        <f>'openbare verlichting'!B8</f>
        <v>1158.6199999999999</v>
      </c>
      <c r="C6" s="445"/>
      <c r="D6" s="445"/>
      <c r="E6" s="445"/>
      <c r="F6" s="445"/>
      <c r="G6" s="445"/>
      <c r="H6" s="445"/>
      <c r="I6" s="445"/>
      <c r="J6" s="445"/>
      <c r="K6" s="445"/>
      <c r="L6" s="445"/>
      <c r="M6" s="445"/>
      <c r="N6" s="445"/>
      <c r="O6" s="445"/>
      <c r="P6" s="446"/>
      <c r="Q6" s="444">
        <f t="shared" si="0"/>
        <v>1158.6199999999999</v>
      </c>
    </row>
    <row r="7" spans="1:17">
      <c r="A7" s="444" t="s">
        <v>105</v>
      </c>
      <c r="B7" s="445">
        <f>landbouw!B8</f>
        <v>577.375</v>
      </c>
      <c r="C7" s="445">
        <f>landbouw!C8</f>
        <v>0</v>
      </c>
      <c r="D7" s="445">
        <f>landbouw!D8</f>
        <v>195.28480400000001</v>
      </c>
      <c r="E7" s="445">
        <f>landbouw!E8</f>
        <v>5.2028813743029705</v>
      </c>
      <c r="F7" s="445">
        <f>landbouw!F8</f>
        <v>2163.4417343543882</v>
      </c>
      <c r="G7" s="445">
        <f>landbouw!G8</f>
        <v>0</v>
      </c>
      <c r="H7" s="445">
        <f>landbouw!H8</f>
        <v>0</v>
      </c>
      <c r="I7" s="445">
        <f>landbouw!I8</f>
        <v>0</v>
      </c>
      <c r="J7" s="445">
        <f>landbouw!J8</f>
        <v>58.427962043679543</v>
      </c>
      <c r="K7" s="445">
        <f>landbouw!K8</f>
        <v>0</v>
      </c>
      <c r="L7" s="445">
        <f>landbouw!L8</f>
        <v>0</v>
      </c>
      <c r="M7" s="445">
        <f>landbouw!M8</f>
        <v>0</v>
      </c>
      <c r="N7" s="445">
        <f>landbouw!N8</f>
        <v>0</v>
      </c>
      <c r="O7" s="445">
        <f>landbouw!O8</f>
        <v>0</v>
      </c>
      <c r="P7" s="446">
        <f>landbouw!P8</f>
        <v>0</v>
      </c>
      <c r="Q7" s="444">
        <f t="shared" si="0"/>
        <v>2999.7323817723709</v>
      </c>
    </row>
    <row r="8" spans="1:17">
      <c r="A8" s="444" t="s">
        <v>613</v>
      </c>
      <c r="B8" s="445">
        <f>industrie!B18</f>
        <v>6897.7119999999995</v>
      </c>
      <c r="C8" s="445">
        <f>industrie!C18</f>
        <v>0</v>
      </c>
      <c r="D8" s="445">
        <f>industrie!D18</f>
        <v>15297.099180000001</v>
      </c>
      <c r="E8" s="445">
        <f>industrie!E18</f>
        <v>66.626463219837078</v>
      </c>
      <c r="F8" s="445">
        <f>industrie!F18</f>
        <v>1874.2309473338498</v>
      </c>
      <c r="G8" s="445">
        <f>industrie!G18</f>
        <v>0</v>
      </c>
      <c r="H8" s="445">
        <f>industrie!H18</f>
        <v>0</v>
      </c>
      <c r="I8" s="445">
        <f>industrie!I18</f>
        <v>0</v>
      </c>
      <c r="J8" s="445">
        <f>industrie!J18</f>
        <v>83.333505069308643</v>
      </c>
      <c r="K8" s="445">
        <f>industrie!K18</f>
        <v>0</v>
      </c>
      <c r="L8" s="445">
        <f>industrie!L18</f>
        <v>0</v>
      </c>
      <c r="M8" s="445">
        <f>industrie!M18</f>
        <v>0</v>
      </c>
      <c r="N8" s="445">
        <f>industrie!N18</f>
        <v>152.51491195818704</v>
      </c>
      <c r="O8" s="445">
        <f>industrie!O18</f>
        <v>0</v>
      </c>
      <c r="P8" s="446">
        <f>industrie!P18</f>
        <v>0</v>
      </c>
      <c r="Q8" s="444">
        <f t="shared" si="0"/>
        <v>24371.517007581184</v>
      </c>
    </row>
    <row r="9" spans="1:17" s="450" customFormat="1">
      <c r="A9" s="448" t="s">
        <v>555</v>
      </c>
      <c r="B9" s="449">
        <f>transport!B14</f>
        <v>0.66104609892330657</v>
      </c>
      <c r="C9" s="449">
        <f>transport!C14</f>
        <v>0</v>
      </c>
      <c r="D9" s="449">
        <f>transport!D14</f>
        <v>2.1815663369676952</v>
      </c>
      <c r="E9" s="449">
        <f>transport!E14</f>
        <v>223.93931819805326</v>
      </c>
      <c r="F9" s="449">
        <f>transport!F14</f>
        <v>0</v>
      </c>
      <c r="G9" s="449">
        <f>transport!G14</f>
        <v>41420.482643293595</v>
      </c>
      <c r="H9" s="449">
        <f>transport!H14</f>
        <v>7512.8378926880641</v>
      </c>
      <c r="I9" s="449">
        <f>transport!I14</f>
        <v>0</v>
      </c>
      <c r="J9" s="449">
        <f>transport!J14</f>
        <v>0</v>
      </c>
      <c r="K9" s="449">
        <f>transport!K14</f>
        <v>0</v>
      </c>
      <c r="L9" s="449">
        <f>transport!L14</f>
        <v>0</v>
      </c>
      <c r="M9" s="449">
        <f>transport!M14</f>
        <v>2130.1391510910162</v>
      </c>
      <c r="N9" s="449">
        <f>transport!N14</f>
        <v>0</v>
      </c>
      <c r="O9" s="449">
        <f>transport!O14</f>
        <v>0</v>
      </c>
      <c r="P9" s="449">
        <f>transport!P14</f>
        <v>0</v>
      </c>
      <c r="Q9" s="448">
        <f>SUM(B9:P9)</f>
        <v>51290.241617706619</v>
      </c>
    </row>
    <row r="10" spans="1:17">
      <c r="A10" s="444" t="s">
        <v>545</v>
      </c>
      <c r="B10" s="445">
        <f>transport!B54</f>
        <v>5.0499140980796904</v>
      </c>
      <c r="C10" s="445">
        <f>transport!C54</f>
        <v>0</v>
      </c>
      <c r="D10" s="445">
        <f>transport!D54</f>
        <v>0</v>
      </c>
      <c r="E10" s="445">
        <f>transport!E54</f>
        <v>0</v>
      </c>
      <c r="F10" s="445">
        <f>transport!F54</f>
        <v>0</v>
      </c>
      <c r="G10" s="445">
        <f>transport!G54</f>
        <v>1095.5281631561425</v>
      </c>
      <c r="H10" s="445">
        <f>transport!H54</f>
        <v>0</v>
      </c>
      <c r="I10" s="445">
        <f>transport!I54</f>
        <v>0</v>
      </c>
      <c r="J10" s="445">
        <f>transport!J54</f>
        <v>0</v>
      </c>
      <c r="K10" s="445">
        <f>transport!K54</f>
        <v>0</v>
      </c>
      <c r="L10" s="445">
        <f>transport!L54</f>
        <v>0</v>
      </c>
      <c r="M10" s="445">
        <f>transport!M54</f>
        <v>46.906307749854456</v>
      </c>
      <c r="N10" s="445">
        <f>transport!N54</f>
        <v>0</v>
      </c>
      <c r="O10" s="445">
        <f>transport!O54</f>
        <v>0</v>
      </c>
      <c r="P10" s="446">
        <f>transport!P54</f>
        <v>0</v>
      </c>
      <c r="Q10" s="444">
        <f t="shared" si="0"/>
        <v>1147.4843850040766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1581.848</v>
      </c>
      <c r="C14" s="452"/>
      <c r="D14" s="452">
        <f>'SEAP template'!E25</f>
        <v>2241.6190000000001</v>
      </c>
      <c r="E14" s="452"/>
      <c r="F14" s="452"/>
      <c r="G14" s="452"/>
      <c r="H14" s="452"/>
      <c r="I14" s="452"/>
      <c r="J14" s="452"/>
      <c r="K14" s="452"/>
      <c r="L14" s="452"/>
      <c r="M14" s="452"/>
      <c r="N14" s="452"/>
      <c r="O14" s="452"/>
      <c r="P14" s="453"/>
      <c r="Q14" s="444">
        <f t="shared" si="0"/>
        <v>3823.4670000000001</v>
      </c>
    </row>
    <row r="15" spans="1:17" s="457" customFormat="1">
      <c r="A15" s="454" t="s">
        <v>549</v>
      </c>
      <c r="B15" s="455">
        <f ca="1">SUM(B4:B14)</f>
        <v>63961.154807072729</v>
      </c>
      <c r="C15" s="455">
        <f t="shared" ref="C15:Q15" ca="1" si="1">SUM(C4:C14)</f>
        <v>13.125</v>
      </c>
      <c r="D15" s="455">
        <f t="shared" ca="1" si="1"/>
        <v>165146.50660833696</v>
      </c>
      <c r="E15" s="455">
        <f t="shared" si="1"/>
        <v>1391.5309484674844</v>
      </c>
      <c r="F15" s="455">
        <f t="shared" ca="1" si="1"/>
        <v>36676.670405848869</v>
      </c>
      <c r="G15" s="455">
        <f t="shared" si="1"/>
        <v>42516.01080644974</v>
      </c>
      <c r="H15" s="455">
        <f t="shared" si="1"/>
        <v>7512.8378926880641</v>
      </c>
      <c r="I15" s="455">
        <f t="shared" si="1"/>
        <v>0</v>
      </c>
      <c r="J15" s="455">
        <f t="shared" si="1"/>
        <v>812.99320977448076</v>
      </c>
      <c r="K15" s="455">
        <f t="shared" si="1"/>
        <v>0</v>
      </c>
      <c r="L15" s="455">
        <f t="shared" ca="1" si="1"/>
        <v>0</v>
      </c>
      <c r="M15" s="455">
        <f t="shared" si="1"/>
        <v>2177.0454588408707</v>
      </c>
      <c r="N15" s="455">
        <f t="shared" ca="1" si="1"/>
        <v>10863.564853749936</v>
      </c>
      <c r="O15" s="455">
        <f t="shared" si="1"/>
        <v>118.81333333333333</v>
      </c>
      <c r="P15" s="455">
        <f t="shared" si="1"/>
        <v>286</v>
      </c>
      <c r="Q15" s="455">
        <f t="shared" ca="1" si="1"/>
        <v>331476.25332456245</v>
      </c>
    </row>
    <row r="17" spans="1:17">
      <c r="A17" s="458" t="s">
        <v>550</v>
      </c>
      <c r="B17" s="725">
        <f ca="1">huishoudens!B10</f>
        <v>0.21277835424151514</v>
      </c>
      <c r="C17" s="725">
        <f ca="1">huishoudens!C10</f>
        <v>0.22444444444444447</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8467.4749976856747</v>
      </c>
      <c r="C22" s="445">
        <f t="shared" ref="C22:C32" ca="1" si="3">C4*$C$17</f>
        <v>0</v>
      </c>
      <c r="D22" s="445">
        <f t="shared" ref="D22:D32" si="4">D4*$D$17</f>
        <v>26743.514843276</v>
      </c>
      <c r="E22" s="445">
        <f t="shared" ref="E22:E32" si="5">E4*$E$17</f>
        <v>198.23787541442334</v>
      </c>
      <c r="F22" s="445">
        <f t="shared" ref="F22:F32" si="6">F4*$F$17</f>
        <v>7959.1054133464013</v>
      </c>
      <c r="G22" s="445">
        <f t="shared" ref="G22:G32" si="7">G4*$G$17</f>
        <v>0</v>
      </c>
      <c r="H22" s="445">
        <f t="shared" ref="H22:H32" si="8">H4*$H$17</f>
        <v>0</v>
      </c>
      <c r="I22" s="445">
        <f t="shared" ref="I22:I32" si="9">I4*$I$17</f>
        <v>0</v>
      </c>
      <c r="J22" s="445">
        <f t="shared" ref="J22:J32" si="10">J4*$J$17</f>
        <v>237.61603690216833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43605.949166624661</v>
      </c>
    </row>
    <row r="23" spans="1:17">
      <c r="A23" s="444" t="s">
        <v>149</v>
      </c>
      <c r="B23" s="445">
        <f t="shared" ca="1" si="2"/>
        <v>2967.2101082744962</v>
      </c>
      <c r="C23" s="445">
        <f t="shared" ca="1" si="3"/>
        <v>2.9458333333333337</v>
      </c>
      <c r="D23" s="445">
        <f t="shared" ca="1" si="4"/>
        <v>3033.3702124400006</v>
      </c>
      <c r="E23" s="445">
        <f t="shared" si="5"/>
        <v>50.500163433867769</v>
      </c>
      <c r="F23" s="445">
        <f t="shared" ca="1" si="6"/>
        <v>755.50697900448881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6809.5332964861864</v>
      </c>
    </row>
    <row r="24" spans="1:17">
      <c r="A24" s="444" t="s">
        <v>187</v>
      </c>
      <c r="B24" s="445">
        <f t="shared" ca="1" si="2"/>
        <v>246.52925679130425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246.52925679130425</v>
      </c>
    </row>
    <row r="25" spans="1:17">
      <c r="A25" s="444" t="s">
        <v>105</v>
      </c>
      <c r="B25" s="445">
        <f t="shared" ca="1" si="2"/>
        <v>122.85290228019481</v>
      </c>
      <c r="C25" s="445">
        <f t="shared" ca="1" si="3"/>
        <v>0</v>
      </c>
      <c r="D25" s="445">
        <f t="shared" si="4"/>
        <v>39.447530408000006</v>
      </c>
      <c r="E25" s="445">
        <f t="shared" si="5"/>
        <v>1.1810540719667744</v>
      </c>
      <c r="F25" s="445">
        <f t="shared" si="6"/>
        <v>577.63894307262171</v>
      </c>
      <c r="G25" s="445">
        <f t="shared" si="7"/>
        <v>0</v>
      </c>
      <c r="H25" s="445">
        <f t="shared" si="8"/>
        <v>0</v>
      </c>
      <c r="I25" s="445">
        <f t="shared" si="9"/>
        <v>0</v>
      </c>
      <c r="J25" s="445">
        <f t="shared" si="10"/>
        <v>20.683498563462557</v>
      </c>
      <c r="K25" s="445">
        <f t="shared" si="11"/>
        <v>0</v>
      </c>
      <c r="L25" s="445">
        <f t="shared" si="12"/>
        <v>0</v>
      </c>
      <c r="M25" s="445">
        <f t="shared" si="13"/>
        <v>0</v>
      </c>
      <c r="N25" s="445">
        <f t="shared" si="14"/>
        <v>0</v>
      </c>
      <c r="O25" s="445">
        <f t="shared" si="15"/>
        <v>0</v>
      </c>
      <c r="P25" s="446">
        <f t="shared" si="16"/>
        <v>0</v>
      </c>
      <c r="Q25" s="444">
        <f t="shared" ca="1" si="17"/>
        <v>761.80392839624585</v>
      </c>
    </row>
    <row r="26" spans="1:17">
      <c r="A26" s="444" t="s">
        <v>613</v>
      </c>
      <c r="B26" s="445">
        <f t="shared" ca="1" si="2"/>
        <v>1467.6838073919498</v>
      </c>
      <c r="C26" s="445">
        <f t="shared" ca="1" si="3"/>
        <v>0</v>
      </c>
      <c r="D26" s="445">
        <f t="shared" si="4"/>
        <v>3090.0140343600006</v>
      </c>
      <c r="E26" s="445">
        <f t="shared" si="5"/>
        <v>15.124207150903016</v>
      </c>
      <c r="F26" s="445">
        <f t="shared" si="6"/>
        <v>500.41966293813795</v>
      </c>
      <c r="G26" s="445">
        <f t="shared" si="7"/>
        <v>0</v>
      </c>
      <c r="H26" s="445">
        <f t="shared" si="8"/>
        <v>0</v>
      </c>
      <c r="I26" s="445">
        <f t="shared" si="9"/>
        <v>0</v>
      </c>
      <c r="J26" s="445">
        <f t="shared" si="10"/>
        <v>29.500060794535258</v>
      </c>
      <c r="K26" s="445">
        <f t="shared" si="11"/>
        <v>0</v>
      </c>
      <c r="L26" s="445">
        <f t="shared" si="12"/>
        <v>0</v>
      </c>
      <c r="M26" s="445">
        <f t="shared" si="13"/>
        <v>0</v>
      </c>
      <c r="N26" s="445">
        <f t="shared" si="14"/>
        <v>0</v>
      </c>
      <c r="O26" s="445">
        <f t="shared" si="15"/>
        <v>0</v>
      </c>
      <c r="P26" s="446">
        <f t="shared" si="16"/>
        <v>0</v>
      </c>
      <c r="Q26" s="444">
        <f t="shared" ca="1" si="17"/>
        <v>5102.7417726355261</v>
      </c>
    </row>
    <row r="27" spans="1:17" s="450" customFormat="1">
      <c r="A27" s="448" t="s">
        <v>555</v>
      </c>
      <c r="B27" s="719">
        <f t="shared" ca="1" si="2"/>
        <v>0.14065630100667498</v>
      </c>
      <c r="C27" s="449">
        <f t="shared" ca="1" si="3"/>
        <v>0</v>
      </c>
      <c r="D27" s="449">
        <f t="shared" si="4"/>
        <v>0.44067640006747444</v>
      </c>
      <c r="E27" s="449">
        <f t="shared" si="5"/>
        <v>50.83422523095809</v>
      </c>
      <c r="F27" s="449">
        <f t="shared" si="6"/>
        <v>0</v>
      </c>
      <c r="G27" s="449">
        <f t="shared" si="7"/>
        <v>11059.26886575939</v>
      </c>
      <c r="H27" s="449">
        <f t="shared" si="8"/>
        <v>1870.6966352793279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12981.38105897075</v>
      </c>
    </row>
    <row r="28" spans="1:17">
      <c r="A28" s="444" t="s">
        <v>545</v>
      </c>
      <c r="B28" s="445">
        <f t="shared" ca="1" si="2"/>
        <v>1.0745124108504218</v>
      </c>
      <c r="C28" s="445">
        <f t="shared" ca="1" si="3"/>
        <v>0</v>
      </c>
      <c r="D28" s="445">
        <f t="shared" si="4"/>
        <v>0</v>
      </c>
      <c r="E28" s="445">
        <f t="shared" si="5"/>
        <v>0</v>
      </c>
      <c r="F28" s="445">
        <f t="shared" si="6"/>
        <v>0</v>
      </c>
      <c r="G28" s="445">
        <f t="shared" si="7"/>
        <v>292.50601956269003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293.58053197354047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336.58301410023222</v>
      </c>
      <c r="C32" s="445">
        <f t="shared" ca="1" si="3"/>
        <v>0</v>
      </c>
      <c r="D32" s="445">
        <f t="shared" si="4"/>
        <v>452.80703800000003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789.3900521002322</v>
      </c>
    </row>
    <row r="33" spans="1:17" s="457" customFormat="1">
      <c r="A33" s="454" t="s">
        <v>549</v>
      </c>
      <c r="B33" s="455">
        <f ca="1">SUM(B22:B32)</f>
        <v>13609.549255235706</v>
      </c>
      <c r="C33" s="455">
        <f t="shared" ref="C33:Q33" ca="1" si="19">SUM(C22:C32)</f>
        <v>2.9458333333333337</v>
      </c>
      <c r="D33" s="455">
        <f t="shared" ca="1" si="19"/>
        <v>33359.594334884066</v>
      </c>
      <c r="E33" s="455">
        <f t="shared" si="19"/>
        <v>315.87752530211901</v>
      </c>
      <c r="F33" s="455">
        <f t="shared" ca="1" si="19"/>
        <v>9792.6709983616493</v>
      </c>
      <c r="G33" s="455">
        <f t="shared" si="19"/>
        <v>11351.77488532208</v>
      </c>
      <c r="H33" s="455">
        <f t="shared" si="19"/>
        <v>1870.6966352793279</v>
      </c>
      <c r="I33" s="455">
        <f t="shared" si="19"/>
        <v>0</v>
      </c>
      <c r="J33" s="455">
        <f t="shared" si="19"/>
        <v>287.79959626016614</v>
      </c>
      <c r="K33" s="455">
        <f t="shared" si="19"/>
        <v>0</v>
      </c>
      <c r="L33" s="455">
        <f t="shared" ca="1" si="19"/>
        <v>0</v>
      </c>
      <c r="M33" s="455">
        <f t="shared" si="19"/>
        <v>0</v>
      </c>
      <c r="N33" s="455">
        <f t="shared" ca="1" si="19"/>
        <v>0</v>
      </c>
      <c r="O33" s="455">
        <f t="shared" si="19"/>
        <v>0</v>
      </c>
      <c r="P33" s="455">
        <f t="shared" si="19"/>
        <v>0</v>
      </c>
      <c r="Q33" s="455">
        <f t="shared" ca="1" si="19"/>
        <v>70590.909063978441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2379.5248814209417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2.625</v>
      </c>
      <c r="D8" s="963">
        <f>'SEAP template'!D76</f>
        <v>2.9166666666666665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0.58916666666666673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2379.5248814209417</v>
      </c>
      <c r="C10" s="967">
        <f>SUM(C4:C9)</f>
        <v>2.625</v>
      </c>
      <c r="D10" s="967">
        <f t="shared" ref="D10:H10" si="0">SUM(D8:D9)</f>
        <v>2.9166666666666665</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0.58916666666666673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0.21277835424151514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13.125</v>
      </c>
      <c r="D17" s="964">
        <f>'SEAP template'!D87</f>
        <v>14.583333333333334</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2.9458333333333337</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13.125</v>
      </c>
      <c r="D20" s="967">
        <f t="shared" ref="D20:H20" si="2">SUM(D17:D19)</f>
        <v>14.583333333333334</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2.9458333333333337</v>
      </c>
    </row>
    <row r="22" spans="1:16">
      <c r="A22" s="458" t="s">
        <v>885</v>
      </c>
      <c r="B22" s="725" t="s">
        <v>879</v>
      </c>
      <c r="C22" s="72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0.21277835424151514</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2022-07-26T12:45:14Z</dcterms:modified>
</cp:coreProperties>
</file>