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E72DD49-5904-429C-BFE9-DA1A2F01348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D20" i="18"/>
  <c r="G12" i="18"/>
  <c r="F12" i="18"/>
  <c r="E12" i="18"/>
  <c r="D12" i="18"/>
  <c r="C12" i="18"/>
  <c r="L10" i="18"/>
  <c r="K10" i="18"/>
  <c r="G10" i="18"/>
  <c r="D10" i="18"/>
  <c r="B6" i="18"/>
  <c r="B5" i="18"/>
  <c r="B4" i="18"/>
  <c r="G20" i="18"/>
  <c r="K20" i="18"/>
  <c r="B47" i="18"/>
  <c r="I51" i="18"/>
  <c r="H17" i="18"/>
  <c r="J9" i="18"/>
  <c r="O9" i="18"/>
  <c r="B17" i="18"/>
  <c r="B20" i="18"/>
  <c r="C47" i="18"/>
  <c r="H50" i="18"/>
  <c r="O19" i="18"/>
  <c r="O18" i="18"/>
  <c r="L20" i="18"/>
  <c r="B10" i="18"/>
  <c r="D51"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1" i="18"/>
  <c r="C17" i="18"/>
  <c r="D87" i="14"/>
  <c r="D17" i="55"/>
  <c r="D20" i="55"/>
  <c r="L20" i="55"/>
  <c r="F51" i="18"/>
  <c r="G51" i="18"/>
  <c r="I17" i="18"/>
  <c r="J77" i="14"/>
  <c r="J9" i="55"/>
  <c r="H51" i="18"/>
  <c r="H20" i="18"/>
  <c r="M87" i="14"/>
  <c r="M17" i="55"/>
  <c r="M20" i="55"/>
  <c r="C51" i="18"/>
  <c r="E51" i="18"/>
  <c r="E17" i="18"/>
  <c r="K10" i="55"/>
  <c r="C50" i="18"/>
  <c r="E50" i="18"/>
  <c r="E8" i="18"/>
  <c r="G50" i="18"/>
  <c r="I50" i="18"/>
  <c r="H8" i="18"/>
  <c r="B50" i="18"/>
  <c r="C8" i="18"/>
  <c r="D76" i="14"/>
  <c r="D8" i="55"/>
  <c r="D10" i="55"/>
  <c r="D50" i="18"/>
  <c r="F50"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<sst xmlns="http://schemas.openxmlformats.org/spreadsheetml/2006/main" count="2528" uniqueCount="966">
  <si>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</si>
  <si>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</si>
  <si>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</si>
  <si>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</si>
  <si>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</si>
  <si>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</si>
  <si>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</si>
  <si>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</si>
  <si>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</si>
  <si>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</si>
  <si>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</si>
  <si>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</si>
  <si>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</si>
  <si>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</si>
  <si>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</si>
  <si>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</si>
  <si>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</si>
  <si>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</si>
  <si>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</si>
  <si>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</si>
  <si>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</si>
  <si>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</si>
  <si>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</si>
  <si>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</si>
  <si>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</si>
  <si>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</si>
  <si>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</si>
  <si>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</si>
  <si>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</si>
  <si>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</si>
  <si>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</si>
  <si>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</si>
  <si>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</si>
  <si>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</si>
  <si>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</si>
  <si>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</si>
  <si>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</si>
  <si>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</si>
  <si>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</si>
  <si>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</si>
  <si>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</si>
  <si>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</si>
  <si>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</si>
  <si>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</si>
  <si>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</si>
  <si>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</si>
  <si>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</si>
  <si>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</si>
  <si>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</si>
  <si>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</si>
  <si>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</si>
  <si>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</si>
  <si>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</si>
  <si>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</si>
  <si>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</si>
  <si>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</si>
  <si>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</si>
  <si>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</si>
  <si>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</si>
  <si>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</si>
  <si>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</si>
  <si>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</si>
  <si>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</si>
  <si>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</si>
  <si>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</si>
  <si>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</si>
  <si>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</si>
  <si>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</si>
  <si>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</si>
  <si>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</si>
  <si>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</si>
  <si>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</si>
  <si>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</si>
  <si>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</si>
  <si>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</si>
  <si>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</si>
  <si>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</si>
  <si>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</si>
  <si>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</si>
  <si>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</si>
  <si>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</si>
  <si>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</si>
  <si>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</si>
  <si>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</si>
  <si>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</si>
  <si>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</si>
  <si>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</si>
  <si>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</si>
  <si>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</si>
  <si>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</si>
  <si>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</si>
  <si>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</si>
  <si>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</si>
  <si>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</si>
  <si>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</si>
  <si>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</si>
  <si>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</si>
  <si>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</si>
  <si>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</si>
  <si>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</si>
  <si>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</si>
  <si>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</si>
  <si>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</si>
  <si>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</si>
  <si>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</si>
  <si>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</si>
  <si>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</si>
  <si>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</si>
  <si>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</si>
  <si>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</si>
  <si>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</si>
  <si>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</si>
  <si>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</si>
  <si>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</si>
  <si>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</si>
  <si>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</si>
  <si>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</si>
  <si>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</si>
  <si>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</si>
  <si>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</si>
  <si>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</si>
  <si>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</si>
  <si>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</si>
  <si>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</si>
  <si>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</si>
  <si>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</si>
  <si>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</si>
  <si>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</si>
  <si>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</si>
  <si>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</si>
  <si>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</si>
  <si>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</si>
  <si>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</si>
  <si>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</si>
  <si>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</si>
  <si>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</si>
  <si>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</si>
  <si>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</si>
  <si>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</si>
  <si>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</si>
  <si>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</si>
  <si>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</si>
  <si>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</si>
  <si>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</si>
  <si>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</si>
  <si>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</si>
  <si>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</si>
  <si>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</si>
  <si>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</si>
  <si>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</si>
  <si>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</si>
  <si>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</si>
  <si>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</si>
  <si>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</si>
  <si>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</si>
  <si>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</si>
  <si>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</si>
  <si>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</si>
  <si>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</si>
  <si>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</si>
  <si>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</si>
  <si>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</si>
  <si>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</si>
  <si>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</si>
  <si>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</si>
  <si>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</si>
  <si>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</si>
  <si>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</si>
  <si>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</si>
  <si>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</si>
  <si>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</si>
  <si>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</si>
  <si>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</si>
  <si>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</si>
  <si>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</si>
  <si>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</si>
  <si>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</si>
  <si>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</si>
  <si>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</si>
  <si>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</si>
  <si>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</si>
  <si>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</si>
  <si>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</si>
  <si>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</si>
  <si>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</si>
  <si>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</si>
  <si>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</si>
  <si>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</si>
  <si>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</si>
  <si>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</si>
  <si>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</si>
  <si>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</si>
  <si>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</si>
  <si>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</si>
  <si>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</si>
  <si>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</si>
  <si>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</si>
  <si>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</si>
  <si>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</si>
  <si>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</si>
  <si>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</si>
  <si>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</si>
  <si>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</si>
  <si>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</si>
  <si>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</si>
  <si>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</si>
  <si>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</si>
  <si>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</si>
  <si>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</si>
  <si>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</si>
  <si>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</si>
  <si>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</si>
  <si>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</si>
  <si>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</si>
  <si>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</si>
  <si>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</si>
  <si>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</si>
  <si>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</si>
  <si>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</si>
  <si>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</si>
  <si>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</si>
  <si>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</si>
  <si>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</si>
  <si>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</si>
  <si>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</si>
  <si>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</si>
  <si>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</si>
  <si>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</si>
  <si>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</si>
  <si>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</si>
  <si>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</si>
  <si>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</si>
  <si>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</si>
  <si>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</si>
  <si>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</si>
  <si>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</si>
  <si>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</si>
  <si>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</si>
  <si>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</si>
  <si>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</si>
  <si>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</si>
  <si>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</si>
  <si>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</si>
  <si>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</si>
  <si>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</si>
  <si>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</si>
  <si>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</si>
  <si>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</si>
  <si>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</si>
  <si>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</si>
  <si>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</si>
  <si>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</si>
  <si>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</si>
  <si>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</si>
  <si>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</si>
  <si>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</si>
  <si>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</si>
  <si>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</si>
  <si>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</si>
  <si>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</si>
  <si>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</si>
  <si>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</si>
  <si>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</si>
  <si>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</si>
  <si>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</si>
  <si>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</si>
  <si>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</si>
  <si>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</si>
  <si>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</si>
  <si>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</si>
  <si>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</si>
  <si>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</si>
  <si>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</si>
  <si>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</si>
  <si>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</si>
  <si>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</si>
  <si>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</si>
  <si>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</si>
  <si>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</si>
  <si>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</si>
  <si>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</si>
  <si>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</si>
  <si>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</si>
  <si>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</si>
  <si>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</si>
  <si>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</si>
  <si>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</si>
  <si>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</si>
  <si>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</si>
  <si>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</si>
  <si>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</si>
  <si>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</si>
  <si>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</si>
  <si>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</si>
  <si>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</si>
  <si>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</si>
  <si>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</si>
  <si>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</si>
  <si>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</si>
  <si>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</si>
  <si>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</si>
  <si>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</si>
  <si>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</si>
  <si>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</si>
  <si>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</si>
  <si>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</si>
  <si>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</si>
  <si>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</si>
  <si>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</si>
  <si>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</si>
  <si>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</si>
  <si>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</si>
  <si>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</si>
  <si>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</si>
  <si>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</si>
  <si>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</si>
  <si>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</si>
  <si>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</si>
  <si>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</si>
  <si>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</si>
  <si>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</si>
  <si>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</si>
  <si>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</si>
  <si>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</si>
  <si>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</si>
  <si>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</si>
  <si>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</si>
  <si>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</si>
  <si>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</si>
  <si>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</si>
  <si>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</si>
  <si>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</si>
  <si>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</si>
  <si>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</si>
  <si>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</si>
  <si>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</si>
  <si>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</si>
  <si>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</si>
  <si>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</si>
  <si>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</si>
  <si>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</si>
  <si>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</si>
  <si>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</si>
  <si>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</si>
  <si>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</si>
  <si>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</si>
  <si>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</si>
  <si>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</si>
  <si>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</si>
  <si>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</si>
  <si>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</si>
  <si>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</si>
  <si>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</si>
  <si>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</si>
  <si>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</si>
  <si>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</si>
  <si>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</si>
  <si>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</si>
  <si>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</si>
  <si>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</si>
  <si>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</si>
  <si>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</si>
  <si>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</si>
  <si>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</si>
  <si>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</si>
  <si>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</si>
  <si>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</si>
  <si>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</si>
  <si>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</si>
  <si>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</si>
  <si>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</si>
  <si>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</si>
  <si>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</si>
  <si>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</si>
  <si>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</si>
  <si>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</si>
  <si>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</si>
  <si>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</si>
  <si>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</si>
  <si>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</si>
  <si>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</si>
  <si>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</si>
  <si>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</si>
  <si>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</si>
  <si>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</si>
  <si>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</si>
  <si>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</si>
  <si>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</si>
  <si>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</si>
  <si>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</si>
  <si>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</si>
  <si>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</si>
  <si>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</si>
  <si>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</si>
  <si>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</si>
  <si>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</si>
  <si>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</si>
  <si>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</si>
  <si>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</si>
  <si>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</si>
  <si>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</si>
  <si>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</si>
  <si>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</si>
  <si>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</si>
  <si>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</si>
  <si>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</si>
  <si>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</si>
  <si>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</si>
  <si>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</si>
  <si>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</si>
  <si>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</si>
  <si>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</si>
  <si>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</si>
  <si>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</si>
  <si>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</si>
  <si>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</si>
  <si>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</si>
  <si>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</si>
  <si>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</si>
  <si>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</si>
  <si>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</si>
  <si>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</si>
  <si>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</si>
  <si>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</si>
  <si>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</si>
  <si>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</si>
  <si>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</si>
  <si>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</si>
  <si>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</si>
  <si>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</si>
  <si>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</si>
  <si>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</si>
  <si>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</si>
  <si>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</si>
  <si>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</si>
  <si>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</si>
  <si>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</si>
  <si>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</si>
  <si>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</si>
  <si>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</si>
  <si>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</si>
  <si>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</si>
  <si>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</si>
  <si>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</si>
  <si>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</si>
  <si>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</si>
  <si>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</si>
  <si>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</si>
  <si>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</si>
  <si>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</si>
  <si>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</si>
  <si>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</si>
  <si>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</si>
  <si>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</si>
  <si>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</si>
  <si>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</si>
  <si>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</si>
  <si>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</si>
  <si>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</si>
  <si>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</si>
  <si>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</si>
  <si>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</si>
  <si>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</si>
  <si>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</si>
  <si>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</si>
  <si>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</si>
  <si>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</si>
  <si>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</si>
  <si>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</si>
  <si>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</si>
  <si>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</si>
  <si>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</si>
  <si>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</si>
  <si>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</si>
  <si>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</si>
  <si>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</si>
  <si>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</si>
  <si>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</si>
  <si>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</si>
  <si>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</si>
  <si>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</si>
  <si>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</si>
  <si>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</si>
  <si>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</si>
  <si>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</si>
  <si>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</si>
  <si>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</si>
  <si>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</si>
  <si>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</si>
  <si>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</si>
  <si>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</si>
  <si>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</si>
  <si>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</si>
  <si>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</si>
  <si>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</si>
  <si>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</si>
  <si>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</si>
  <si>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</si>
  <si>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</si>
  <si>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</si>
  <si>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</si>
  <si>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</si>
  <si>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</si>
  <si>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</si>
  <si>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</si>
  <si>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</si>
  <si>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</si>
  <si>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</si>
  <si>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</si>
  <si>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</si>
  <si>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</si>
  <si>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</si>
  <si>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</si>
  <si>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</si>
  <si>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</si>
  <si>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</si>
  <si>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</si>
  <si>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</si>
  <si>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</si>
  <si>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</si>
  <si>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</si>
  <si>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</si>
  <si>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</si>
  <si>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</si>
  <si>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</si>
  <si>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</si>
  <si>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</si>
  <si>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</si>
  <si>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</si>
  <si>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</si>
  <si>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</si>
  <si>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</si>
  <si>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</si>
  <si>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</si>
  <si>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</si>
  <si>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</si>
  <si>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</si>
  <si>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</si>
  <si>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</si>
  <si>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</si>
  <si>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</si>
  <si>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</si>
  <si>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</si>
  <si>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</si>
  <si>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</si>
  <si>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</si>
  <si>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</si>
  <si>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</si>
  <si>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</si>
  <si>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</si>
  <si>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</si>
  <si>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</si>
  <si>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</si>
  <si>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</si>
  <si>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</si>
  <si>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</si>
  <si>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</si>
  <si>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</si>
  <si>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</si>
  <si>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</si>
  <si>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</si>
  <si>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</si>
  <si>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</si>
  <si>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</si>
  <si>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</si>
  <si>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</si>
  <si>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</si>
  <si>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</si>
  <si>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</si>
  <si>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</si>
  <si>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</si>
  <si>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</si>
  <si>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</si>
  <si>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</si>
  <si>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</si>
  <si>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</si>
  <si>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</si>
  <si>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</si>
  <si>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</si>
  <si>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</si>
  <si>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</si>
  <si>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</si>
  <si>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</si>
  <si>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</si>
  <si>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</si>
  <si>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</si>
  <si>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</si>
  <si>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</si>
  <si>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</si>
  <si>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</si>
  <si>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</si>
  <si>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</si>
  <si>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</si>
  <si>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</si>
  <si>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</si>
  <si>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</si>
  <si>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</si>
  <si>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</si>
  <si>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</si>
  <si>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</si>
  <si>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</si>
  <si>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</si>
  <si>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</si>
  <si>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</si>
  <si>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</si>
  <si>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</si>
  <si>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</si>
  <si>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</si>
  <si>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</si>
  <si>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</si>
  <si>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</si>
  <si>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</si>
  <si>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</si>
  <si>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</si>
  <si>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</si>
  <si>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</si>
  <si>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</si>
  <si>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</si>
  <si>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</si>
  <si>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</si>
  <si>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</si>
  <si>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</si>
  <si>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</si>
  <si>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</si>
  <si>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</si>
  <si>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</si>
  <si>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</si>
  <si>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</si>
  <si>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</si>
  <si>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</si>
  <si>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</si>
  <si>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</si>
  <si>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</si>
  <si>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</si>
  <si>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</si>
  <si>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</si>
  <si>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</si>
  <si>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</si>
  <si>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</si>
  <si>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</si>
  <si>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</si>
  <si>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</si>
  <si>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</si>
  <si>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</si>
  <si>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</si>
  <si>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</si>
  <si>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</si>
  <si>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</si>
  <si>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</si>
  <si>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</si>
  <si>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</si>
  <si>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</si>
  <si>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</si>
  <si>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</si>
  <si>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</si>
  <si>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</si>
  <si>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</si>
  <si>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</si>
  <si>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</si>
  <si>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</si>
  <si>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</si>
  <si>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</si>
  <si>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</si>
  <si>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</si>
  <si>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</si>
  <si>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</si>
  <si>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</si>
  <si>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</si>
  <si>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</si>
  <si>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</si>
  <si>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</si>
  <si>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</si>
  <si>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</si>
  <si>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</si>
  <si>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</si>
  <si>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</si>
  <si>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</si>
  <si>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</si>
  <si>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</si>
  <si>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</si>
  <si>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</si>
  <si>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</si>
  <si>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</si>
  <si>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</si>
  <si>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</si>
  <si>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</si>
  <si>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</si>
  <si>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</si>
  <si>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</si>
  <si>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</si>
  <si>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</si>
  <si>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</si>
  <si>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</si>
  <si>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</si>
  <si>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</si>
  <si>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</si>
  <si>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</si>
  <si>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</si>
  <si>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</si>
  <si>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</si>
  <si>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</si>
  <si>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</si>
  <si>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</si>
  <si>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</si>
  <si>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</si>
  <si>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</si>
  <si>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</si>
  <si>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</si>
  <si>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</si>
  <si>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</si>
  <si>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</si>
  <si>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</si>
  <si>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</si>
  <si>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</si>
  <si>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</si>
  <si>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</si>
  <si>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</si>
  <si>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</si>
  <si>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</si>
  <si>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</si>
  <si>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</si>
  <si>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</si>
  <si>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</si>
  <si>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</si>
  <si>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</si>
  <si>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</si>
  <si>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</si>
  <si>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</si>
  <si>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</si>
  <si>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</si>
  <si>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</si>
  <si>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</si>
  <si>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</si>
  <si>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</si>
  <si>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</si>
  <si>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</si>
  <si>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</si>
  <si>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</si>
  <si>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</si>
  <si>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</si>
  <si>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</si>
  <si>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</si>
  <si>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</si>
  <si>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</si>
  <si>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</si>
  <si>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</si>
  <si>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</si>
  <si>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</si>
  <si>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</si>
  <si>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</si>
  <si>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</si>
  <si>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</si>
  <si>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</si>
  <si>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</si>
  <si>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</si>
  <si>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</si>
  <si>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</si>
  <si>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</si>
  <si>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</si>
  <si>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</si>
  <si>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</si>
  <si>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</si>
  <si>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</si>
  <si>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</si>
  <si>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</si>
  <si>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</si>
  <si>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</si>
  <si>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</si>
  <si>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</si>
  <si>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</si>
  <si>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</si>
  <si>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</si>
  <si>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</si>
  <si>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</si>
  <si>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</si>
  <si>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</si>
  <si>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</si>
  <si>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</si>
  <si>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</si>
  <si>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</si>
  <si>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</si>
  <si>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</si>
  <si>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</si>
  <si>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</si>
  <si>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</si>
  <si>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</si>
  <si>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</si>
  <si>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</si>
  <si>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</si>
  <si>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</si>
  <si>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</si>
  <si>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</si>
  <si>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</si>
  <si>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</si>
  <si>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</si>
  <si>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</si>
  <si>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</si>
  <si>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</si>
  <si>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</si>
  <si>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</si>
  <si>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</si>
  <si>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</si>
  <si>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</si>
  <si>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</si>
  <si>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</si>
  <si>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</si>
  <si>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</si>
  <si>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</si>
  <si>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</si>
  <si>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</si>
  <si>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</si>
  <si>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</si>
  <si>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</si>
  <si>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</si>
  <si>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</si>
  <si>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</si>
  <si>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</si>
  <si>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</si>
  <si>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</si>
  <si>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</si>
  <si>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</si>
  <si>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</si>
  <si>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</si>
  <si>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</si>
  <si>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</si>
  <si>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</si>
  <si>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</si>
  <si>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</si>
  <si>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</si>
  <si>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</si>
  <si>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</si>
  <si>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</si>
  <si>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</si>
  <si>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</si>
  <si>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</si>
  <si>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</si>
  <si>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</si>
  <si>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</si>
  <si>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</si>
  <si>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</si>
  <si>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</si>
  <si>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</si>
  <si>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</si>
  <si>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</si>
  <si>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</si>
  <si>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</si>
  <si>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</si>
  <si>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</si>
  <si>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</si>
  <si>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</si>
  <si>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</si>
  <si>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</si>
  <si>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</si>
  <si>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</si>
  <si>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</si>
  <si>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</si>
  <si>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</si>
  <si>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</si>
  <si>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</si>
  <si>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</si>
  <si>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</si>
  <si>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</si>
  <si>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</si>
  <si>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</si>
  <si>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</si>
  <si>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</si>
  <si>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</si>
  <si>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</si>
  <si>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</si>
  <si>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</si>
  <si>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</si>
  <si>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</si>
  <si>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</si>
  <si>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</si>
  <si>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</si>
  <si>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</si>
  <si>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</si>
  <si>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</si>
  <si>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</si>
  <si>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</si>
  <si>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</si>
  <si>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</si>
  <si>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</si>
  <si>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</si>
  <si>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</si>
  <si>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</si>
  <si>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</si>
  <si>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</si>
  <si>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</si>
  <si>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</si>
  <si>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</si>
  <si>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</si>
  <si>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</si>
  <si>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</si>
  <si>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</si>
  <si>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</si>
  <si>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</si>
  <si>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</si>
  <si>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</si>
  <si>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</si>
  <si>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</si>
  <si>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</si>
  <si>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</si>
  <si>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</si>
  <si>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</si>
  <si>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</si>
  <si>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</si>
  <si>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</si>
  <si>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</si>
  <si>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</si>
  <si>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</si>
  <si>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</si>
  <si>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</si>
  <si>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</si>
  <si>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</si>
  <si>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</si>
  <si>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</si>
  <si>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</si>
  <si>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</si>
  <si>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</si>
  <si>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</si>
  <si>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</si>
  <si>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</si>
  <si>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</si>
  <si>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</si>
  <si>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</si>
  <si>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</si>
  <si>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</si>
  <si>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</si>
  <si>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</si>
  <si>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</si>
  <si>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</si>
  <si>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</si>
  <si>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</si>
  <si>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</si>
  <si>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</si>
  <si>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</si>
  <si>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</si>
  <si>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</si>
  <si>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</si>
  <si>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</si>
  <si>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</si>
  <si>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</si>
  <si>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</si>
  <si>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</si>
  <si>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</si>
  <si>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</si>
  <si>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</si>
  <si>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</si>
  <si>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</si>
  <si>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</si>
  <si>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</si>
  <si>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</si>
  <si>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</si>
  <si>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</si>
  <si>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</si>
  <si>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</si>
  <si>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11052</t>
  </si>
  <si>
    <t>WOMMELGEM</t>
  </si>
  <si>
    <t>Paarden&amp;pony's 200 - 600 kg</t>
  </si>
  <si>
    <t>Paarden&amp;pony's &lt; 200 kg</t>
  </si>
  <si>
    <t>vloeibaar gas (MWh)</t>
  </si>
  <si>
    <t>interne verbrandingsmotor</t>
  </si>
  <si>
    <t>WKK interne verbrandinsgmotor (gas)</t>
  </si>
  <si>
    <t>eilandwerking</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</si>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</sst>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8CC5CDD-3943-4040-99FF-A165E61531B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11052</v>
      </c>
      <c r="B6" s="382"/>
      <c r="C6" s="383"/>
    </row>
    <row r="7" spans="1:7" s="380" customFormat="1" ht="15.75" customHeight="1">
      <c r="A7" s="384" t="str">
        <f>txtMunicipality</f>
        <v>WOMMELGEM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0.21995937637717869</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0.21995937637717869</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4964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326</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29</v>
      </c>
      <c r="C17" s="324"/>
      <c r="D17" s="324"/>
      <c r="E17" s="324"/>
      <c r="F17" s="324"/>
    </row>
    <row r="18" spans="1:6">
      <c r="A18" s="1235" t="s">
        <v>8</v>
      </c>
      <c r="B18" s="1236">
        <v>21</v>
      </c>
      <c r="C18" s="324"/>
      <c r="D18" s="324"/>
      <c r="E18" s="324"/>
      <c r="F18" s="324"/>
    </row>
    <row r="19" spans="1:6">
      <c r="A19" s="1235" t="s">
        <v>9</v>
      </c>
      <c r="B19" s="1236">
        <v>15</v>
      </c>
      <c r="C19" s="324"/>
      <c r="D19" s="324"/>
      <c r="E19" s="324"/>
      <c r="F19" s="324"/>
    </row>
    <row r="20" spans="1:6">
      <c r="A20" s="1235" t="s">
        <v>10</v>
      </c>
      <c r="B20" s="1236">
        <v>23</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10550</v>
      </c>
      <c r="C28" s="324"/>
      <c r="D28" s="324"/>
      <c r="E28" s="324"/>
      <c r="F28" s="324"/>
    </row>
    <row r="29" spans="1:6">
      <c r="A29" s="1235" t="s">
        <v>959</v>
      </c>
      <c r="B29" s="1237">
        <v>44</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53456.110853864498</v>
      </c>
    </row>
    <row r="39" spans="1:6">
      <c r="A39" s="1235" t="s">
        <v>29</v>
      </c>
      <c r="B39" s="1235" t="s">
        <v>30</v>
      </c>
      <c r="C39" s="1236">
        <v>3955</v>
      </c>
      <c r="D39" s="1236">
        <v>69464641.084243104</v>
      </c>
      <c r="E39" s="1236">
        <v>5059</v>
      </c>
      <c r="F39" s="1236">
        <v>22199657.605446398</v>
      </c>
    </row>
    <row r="40" spans="1:6">
      <c r="A40" s="1235" t="s">
        <v>29</v>
      </c>
      <c r="B40" s="1235" t="s">
        <v>28</v>
      </c>
      <c r="C40" s="1236">
        <v>0</v>
      </c>
      <c r="D40" s="1236">
        <v>0</v>
      </c>
      <c r="E40" s="1236">
        <v>0</v>
      </c>
      <c r="F40" s="1236">
        <v>0</v>
      </c>
    </row>
    <row r="41" spans="1:6">
      <c r="A41" s="1235" t="s">
        <v>31</v>
      </c>
      <c r="B41" s="1235" t="s">
        <v>32</v>
      </c>
      <c r="C41" s="1236">
        <v>42</v>
      </c>
      <c r="D41" s="1236">
        <v>1271393.36017121</v>
      </c>
      <c r="E41" s="1236">
        <v>112</v>
      </c>
      <c r="F41" s="1236">
        <v>1223516.17379128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10</v>
      </c>
      <c r="D44" s="1236">
        <v>34568288.277828701</v>
      </c>
      <c r="E44" s="1236">
        <v>13</v>
      </c>
      <c r="F44" s="1236">
        <v>948536.40483646002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7</v>
      </c>
      <c r="D47" s="1236">
        <v>4197283.5026532598</v>
      </c>
      <c r="E47" s="1236">
        <v>10</v>
      </c>
      <c r="F47" s="1236">
        <v>3360753.4148004502</v>
      </c>
    </row>
    <row r="48" spans="1:6">
      <c r="A48" s="1235" t="s">
        <v>31</v>
      </c>
      <c r="B48" s="1235" t="s">
        <v>28</v>
      </c>
      <c r="C48" s="1236">
        <v>25</v>
      </c>
      <c r="D48" s="1236">
        <v>2963422.8738234201</v>
      </c>
      <c r="E48" s="1236">
        <v>34</v>
      </c>
      <c r="F48" s="1236">
        <v>5553972.1747006401</v>
      </c>
    </row>
    <row r="49" spans="1:6">
      <c r="A49" s="1235" t="s">
        <v>31</v>
      </c>
      <c r="B49" s="1235" t="s">
        <v>39</v>
      </c>
      <c r="C49" s="1236">
        <v>0</v>
      </c>
      <c r="D49" s="1236">
        <v>0</v>
      </c>
      <c r="E49" s="1236">
        <v>0</v>
      </c>
      <c r="F49" s="1236">
        <v>0</v>
      </c>
    </row>
    <row r="50" spans="1:6">
      <c r="A50" s="1235" t="s">
        <v>31</v>
      </c>
      <c r="B50" s="1235" t="s">
        <v>40</v>
      </c>
      <c r="C50" s="1236">
        <v>9</v>
      </c>
      <c r="D50" s="1236">
        <v>22840891.560709201</v>
      </c>
      <c r="E50" s="1236">
        <v>10</v>
      </c>
      <c r="F50" s="1236">
        <v>19054377.716664299</v>
      </c>
    </row>
    <row r="51" spans="1:6">
      <c r="A51" s="1235" t="s">
        <v>41</v>
      </c>
      <c r="B51" s="1235" t="s">
        <v>42</v>
      </c>
      <c r="C51" s="1236">
        <v>3</v>
      </c>
      <c r="D51" s="1236">
        <v>2348630.4378538099</v>
      </c>
      <c r="E51" s="1236">
        <v>21</v>
      </c>
      <c r="F51" s="1236">
        <v>367592.37327440502</v>
      </c>
    </row>
    <row r="52" spans="1:6">
      <c r="A52" s="1235" t="s">
        <v>41</v>
      </c>
      <c r="B52" s="1235" t="s">
        <v>28</v>
      </c>
      <c r="C52" s="1236">
        <v>5</v>
      </c>
      <c r="D52" s="1236">
        <v>6294366.7823936502</v>
      </c>
      <c r="E52" s="1236">
        <v>6</v>
      </c>
      <c r="F52" s="1236">
        <v>109603.834665509</v>
      </c>
    </row>
    <row r="53" spans="1:6">
      <c r="A53" s="1235" t="s">
        <v>43</v>
      </c>
      <c r="B53" s="1235" t="s">
        <v>44</v>
      </c>
      <c r="C53" s="1236">
        <v>128</v>
      </c>
      <c r="D53" s="1236">
        <v>2452919.4659194401</v>
      </c>
      <c r="E53" s="1236">
        <v>176</v>
      </c>
      <c r="F53" s="1236">
        <v>962605.33298717905</v>
      </c>
    </row>
    <row r="54" spans="1:6">
      <c r="A54" s="1235" t="s">
        <v>45</v>
      </c>
      <c r="B54" s="1235" t="s">
        <v>46</v>
      </c>
      <c r="C54" s="1236">
        <v>0</v>
      </c>
      <c r="D54" s="1236">
        <v>0</v>
      </c>
      <c r="E54" s="1236">
        <v>1</v>
      </c>
      <c r="F54" s="1236">
        <v>889891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23</v>
      </c>
      <c r="D57" s="1236">
        <v>1356455.0311245399</v>
      </c>
      <c r="E57" s="1236">
        <v>76</v>
      </c>
      <c r="F57" s="1236">
        <v>2902304.95084514</v>
      </c>
    </row>
    <row r="58" spans="1:6">
      <c r="A58" s="1235" t="s">
        <v>48</v>
      </c>
      <c r="B58" s="1235" t="s">
        <v>50</v>
      </c>
      <c r="C58" s="1236">
        <v>0</v>
      </c>
      <c r="D58" s="1236">
        <v>0</v>
      </c>
      <c r="E58" s="1236">
        <v>0</v>
      </c>
      <c r="F58" s="1236">
        <v>0</v>
      </c>
    </row>
    <row r="59" spans="1:6">
      <c r="A59" s="1235" t="s">
        <v>48</v>
      </c>
      <c r="B59" s="1235" t="s">
        <v>51</v>
      </c>
      <c r="C59" s="1236">
        <v>141</v>
      </c>
      <c r="D59" s="1236">
        <v>11104321.0132815</v>
      </c>
      <c r="E59" s="1236">
        <v>265</v>
      </c>
      <c r="F59" s="1236">
        <v>15450439.416233599</v>
      </c>
    </row>
    <row r="60" spans="1:6">
      <c r="A60" s="1235" t="s">
        <v>48</v>
      </c>
      <c r="B60" s="1235" t="s">
        <v>52</v>
      </c>
      <c r="C60" s="1236">
        <v>28</v>
      </c>
      <c r="D60" s="1236">
        <v>1696757.53684358</v>
      </c>
      <c r="E60" s="1236">
        <v>32</v>
      </c>
      <c r="F60" s="1236">
        <v>897857.62910537596</v>
      </c>
    </row>
    <row r="61" spans="1:6">
      <c r="A61" s="1235" t="s">
        <v>48</v>
      </c>
      <c r="B61" s="1235" t="s">
        <v>53</v>
      </c>
      <c r="C61" s="1236">
        <v>100</v>
      </c>
      <c r="D61" s="1236">
        <v>6965118.3753123702</v>
      </c>
      <c r="E61" s="1236">
        <v>226</v>
      </c>
      <c r="F61" s="1236">
        <v>4249857.4246150497</v>
      </c>
    </row>
    <row r="62" spans="1:6">
      <c r="A62" s="1235" t="s">
        <v>48</v>
      </c>
      <c r="B62" s="1235" t="s">
        <v>54</v>
      </c>
      <c r="C62" s="1236">
        <v>3</v>
      </c>
      <c r="D62" s="1236">
        <v>885251.451536646</v>
      </c>
      <c r="E62" s="1236">
        <v>3</v>
      </c>
      <c r="F62" s="1236">
        <v>106743.12329075301</v>
      </c>
    </row>
    <row r="63" spans="1:6">
      <c r="A63" s="1235" t="s">
        <v>48</v>
      </c>
      <c r="B63" s="1235" t="s">
        <v>28</v>
      </c>
      <c r="C63" s="1236">
        <v>101</v>
      </c>
      <c r="D63" s="1236">
        <v>16278197.328397101</v>
      </c>
      <c r="E63" s="1236">
        <v>116</v>
      </c>
      <c r="F63" s="1236">
        <v>7788662.5184761602</v>
      </c>
    </row>
    <row r="64" spans="1:6">
      <c r="A64" s="1235" t="s">
        <v>55</v>
      </c>
      <c r="B64" s="1235" t="s">
        <v>56</v>
      </c>
      <c r="C64" s="1236">
        <v>0</v>
      </c>
      <c r="D64" s="1236">
        <v>0</v>
      </c>
      <c r="E64" s="1236">
        <v>0</v>
      </c>
      <c r="F64" s="1236">
        <v>0</v>
      </c>
    </row>
    <row r="65" spans="1:6">
      <c r="A65" s="1235" t="s">
        <v>55</v>
      </c>
      <c r="B65" s="1235" t="s">
        <v>28</v>
      </c>
      <c r="C65" s="1236">
        <v>1</v>
      </c>
      <c r="D65" s="1236">
        <v>25098.6270734602</v>
      </c>
      <c r="E65" s="1236">
        <v>1</v>
      </c>
      <c r="F65" s="1236">
        <v>15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1004863.8434806</v>
      </c>
      <c r="E68" s="1238">
        <v>20</v>
      </c>
      <c r="F68" s="1238">
        <v>756232.714902343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38262735</v>
      </c>
      <c r="E73" s="443"/>
      <c r="F73" s="324"/>
    </row>
    <row r="74" spans="1:6">
      <c r="A74" s="1235" t="s">
        <v>63</v>
      </c>
      <c r="B74" s="1235" t="s">
        <v>730</v>
      </c>
      <c r="C74" s="1248" t="s">
        <v>731</v>
      </c>
      <c r="D74" s="1236">
        <v>3637223.5304495427</v>
      </c>
      <c r="E74" s="443"/>
      <c r="F74" s="324"/>
    </row>
    <row r="75" spans="1:6">
      <c r="A75" s="1235" t="s">
        <v>64</v>
      </c>
      <c r="B75" s="1235" t="s">
        <v>728</v>
      </c>
      <c r="C75" s="1248" t="s">
        <v>732</v>
      </c>
      <c r="D75" s="1236">
        <v>12594124</v>
      </c>
      <c r="E75" s="443"/>
      <c r="F75" s="324"/>
    </row>
    <row r="76" spans="1:6">
      <c r="A76" s="1235" t="s">
        <v>64</v>
      </c>
      <c r="B76" s="1235" t="s">
        <v>730</v>
      </c>
      <c r="C76" s="1248" t="s">
        <v>733</v>
      </c>
      <c r="D76" s="1236">
        <v>1258006.5304495427</v>
      </c>
      <c r="E76" s="443"/>
      <c r="F76" s="324"/>
    </row>
    <row r="77" spans="1:6">
      <c r="A77" s="1235" t="s">
        <v>65</v>
      </c>
      <c r="B77" s="1235" t="s">
        <v>728</v>
      </c>
      <c r="C77" s="1248" t="s">
        <v>734</v>
      </c>
      <c r="D77" s="1236">
        <v>165633342</v>
      </c>
      <c r="E77" s="443"/>
      <c r="F77" s="324"/>
    </row>
    <row r="78" spans="1:6">
      <c r="A78" s="1230" t="s">
        <v>65</v>
      </c>
      <c r="B78" s="1230" t="s">
        <v>730</v>
      </c>
      <c r="C78" s="1230" t="s">
        <v>735</v>
      </c>
      <c r="D78" s="1238">
        <v>35608493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695146.93910091487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1065.903724461986</v>
      </c>
      <c r="C91" s="324"/>
      <c r="D91" s="324"/>
      <c r="E91" s="324"/>
      <c r="F91" s="324"/>
    </row>
    <row r="92" spans="1:6">
      <c r="A92" s="1230" t="s">
        <v>68</v>
      </c>
      <c r="B92" s="1231">
        <v>1245.2883865076171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3049</v>
      </c>
      <c r="C97" s="324"/>
      <c r="D97" s="324"/>
      <c r="E97" s="324"/>
      <c r="F97" s="324"/>
    </row>
    <row r="98" spans="1:6">
      <c r="A98" s="1235" t="s">
        <v>71</v>
      </c>
      <c r="B98" s="1236">
        <v>2</v>
      </c>
      <c r="C98" s="324"/>
      <c r="D98" s="324"/>
      <c r="E98" s="324"/>
      <c r="F98" s="324"/>
    </row>
    <row r="99" spans="1:6">
      <c r="A99" s="1235" t="s">
        <v>72</v>
      </c>
      <c r="B99" s="1236">
        <v>32</v>
      </c>
      <c r="C99" s="324"/>
      <c r="D99" s="324"/>
      <c r="E99" s="324"/>
      <c r="F99" s="324"/>
    </row>
    <row r="100" spans="1:6">
      <c r="A100" s="1235" t="s">
        <v>73</v>
      </c>
      <c r="B100" s="1236">
        <v>376</v>
      </c>
      <c r="C100" s="324"/>
      <c r="D100" s="324"/>
      <c r="E100" s="324"/>
      <c r="F100" s="324"/>
    </row>
    <row r="101" spans="1:6">
      <c r="A101" s="1235" t="s">
        <v>74</v>
      </c>
      <c r="B101" s="1236">
        <v>46</v>
      </c>
      <c r="C101" s="324"/>
      <c r="D101" s="324"/>
      <c r="E101" s="324"/>
      <c r="F101" s="324"/>
    </row>
    <row r="102" spans="1:6">
      <c r="A102" s="1235" t="s">
        <v>75</v>
      </c>
      <c r="B102" s="1236">
        <v>41</v>
      </c>
      <c r="C102" s="324"/>
      <c r="D102" s="324"/>
      <c r="E102" s="324"/>
      <c r="F102" s="324"/>
    </row>
    <row r="103" spans="1:6">
      <c r="A103" s="1235" t="s">
        <v>76</v>
      </c>
      <c r="B103" s="1236">
        <v>57</v>
      </c>
      <c r="C103" s="324"/>
      <c r="D103" s="324"/>
      <c r="E103" s="324"/>
      <c r="F103" s="324"/>
    </row>
    <row r="104" spans="1:6">
      <c r="A104" s="1235" t="s">
        <v>77</v>
      </c>
      <c r="B104" s="1236">
        <v>856</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53</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106037.47710813853</v>
      </c>
      <c r="C3" s="43" t="s">
        <v>163</v>
      </c>
      <c r="D3" s="43"/>
      <c r="E3" s="155"/>
      <c r="F3" s="43"/>
      <c r="G3" s="43"/>
      <c r="H3" s="43"/>
      <c r="I3" s="43"/>
      <c r="J3" s="43"/>
      <c r="K3" s="96"/>
    </row>
    <row r="4" spans="1:11">
      <c r="A4" s="350" t="s">
        <v>164</v>
      </c>
      <c r="B4" s="49">
        <f>IF(ISERROR('SEAP template'!B78+'SEAP template'!C78),0,'SEAP template'!B78+'SEAP template'!C78)</f>
        <v>26365.192110969605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5716.3623529411771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0.21995937637717869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8166.2319327731111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34362.857142857145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889.89099999999996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889.89099999999996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0.21995937637717869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195.7398694036639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22199.657605446399</v>
      </c>
      <c r="C5" s="17">
        <f>IF(ISERROR('Eigen informatie GS &amp; warmtenet'!B57),0,'Eigen informatie GS &amp; warmtenet'!B57)</f>
        <v>0</v>
      </c>
      <c r="D5" s="30">
        <f>(SUM(HH_hh_gas_kWh,HH_rest_gas_kWh)/1000)*0.902</f>
        <v>62657.106257987281</v>
      </c>
      <c r="E5" s="17">
        <f>B32*B41</f>
        <v>579.58186948949651</v>
      </c>
      <c r="F5" s="17">
        <f>B36*B45</f>
        <v>19783.676839784919</v>
      </c>
      <c r="G5" s="18"/>
      <c r="H5" s="17"/>
      <c r="I5" s="17"/>
      <c r="J5" s="17">
        <f>B35*B44+C35*C44</f>
        <v>445.47824512963223</v>
      </c>
      <c r="K5" s="17"/>
      <c r="L5" s="17"/>
      <c r="M5" s="17"/>
      <c r="N5" s="17">
        <f>B34*B43+C34*C43</f>
        <v>5682.6527839387672</v>
      </c>
      <c r="O5" s="17">
        <f>B52*B53*B54</f>
        <v>89.11</v>
      </c>
      <c r="P5" s="17">
        <f>B60*B61*B62/1000-B60*B61*B62/1000/B63</f>
        <v>114.4</v>
      </c>
    </row>
    <row r="6" spans="1:16">
      <c r="A6" s="16" t="s">
        <v>591</v>
      </c>
      <c r="B6" s="727">
        <f>kWh_PV_kleiner_dan_10kW</f>
        <v>1065.903724461986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23265.561329908385</v>
      </c>
      <c r="C8" s="21">
        <f>C5</f>
        <v>0</v>
      </c>
      <c r="D8" s="21">
        <f>D5</f>
        <v>62657.106257987281</v>
      </c>
      <c r="E8" s="21">
        <f>E5</f>
        <v>579.58186948949651</v>
      </c>
      <c r="F8" s="21">
        <f>F5</f>
        <v>19783.676839784919</v>
      </c>
      <c r="G8" s="21"/>
      <c r="H8" s="21"/>
      <c r="I8" s="21"/>
      <c r="J8" s="21">
        <f>J5</f>
        <v>445.47824512963223</v>
      </c>
      <c r="K8" s="21"/>
      <c r="L8" s="21">
        <f>L5</f>
        <v>0</v>
      </c>
      <c r="M8" s="21">
        <f>M5</f>
        <v>0</v>
      </c>
      <c r="N8" s="21">
        <f>N5</f>
        <v>5682.6527839387672</v>
      </c>
      <c r="O8" s="21">
        <f>O5</f>
        <v>89.11</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0.21995937637717869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5117.4783611916528</v>
      </c>
      <c r="C12" s="23">
        <f ca="1">C10*C8</f>
        <v>0</v>
      </c>
      <c r="D12" s="23">
        <f>D8*D10</f>
        <v>12656.735464113432</v>
      </c>
      <c r="E12" s="23">
        <f>E10*E8</f>
        <v>131.56508437411571</v>
      </c>
      <c r="F12" s="23">
        <f>F10*F8</f>
        <v>5282.2417162225738</v>
      </c>
      <c r="G12" s="23"/>
      <c r="H12" s="23"/>
      <c r="I12" s="23"/>
      <c r="J12" s="23">
        <f>J10*J8</f>
        <v>157.69929877588979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4964</v>
      </c>
      <c r="C26" s="36"/>
      <c r="D26" s="225"/>
    </row>
    <row r="27" spans="1:5" s="15" customFormat="1">
      <c r="A27" s="227" t="s">
        <v>671</v>
      </c>
      <c r="B27" s="37">
        <f>SUM(HH_hh_gas_aantal,HH_rest_gas_aantal)</f>
        <v>3955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3757.25</v>
      </c>
      <c r="C31" s="34" t="s">
        <v>104</v>
      </c>
      <c r="D31" s="171"/>
    </row>
    <row r="32" spans="1:5">
      <c r="A32" s="168" t="s">
        <v>72</v>
      </c>
      <c r="B32" s="33">
        <f>IF((B21*($B$26-($B$27-0.05*$B$27)-$B$60))&lt;0,0,B21*($B$26-($B$27-0.05*$B$27)-$B$60))</f>
        <v>8.5127995580699256</v>
      </c>
      <c r="C32" s="34" t="s">
        <v>104</v>
      </c>
      <c r="D32" s="171"/>
    </row>
    <row r="33" spans="1:6">
      <c r="A33" s="168" t="s">
        <v>73</v>
      </c>
      <c r="B33" s="33">
        <f>IF((B22*($B$26-($B$27-0.05*$B$27)-$B$60))&lt;0,0,B22*($B$26-($B$27-0.05*$B$27)-$B$60))</f>
        <v>243.9756771302626</v>
      </c>
      <c r="C33" s="34" t="s">
        <v>104</v>
      </c>
      <c r="D33" s="171"/>
    </row>
    <row r="34" spans="1:6">
      <c r="A34" s="168" t="s">
        <v>74</v>
      </c>
      <c r="B34" s="33">
        <f>IF((B24*($B$26-($B$27-0.05*$B$27)-$B$60))&lt;0,0,B24*($B$26-($B$27-0.05*$B$27)-$B$60))</f>
        <v>48.651328432583902</v>
      </c>
      <c r="C34" s="33">
        <f>B26*C24</f>
        <v>1015.0268795197162</v>
      </c>
      <c r="D34" s="230"/>
    </row>
    <row r="35" spans="1:6">
      <c r="A35" s="168" t="s">
        <v>76</v>
      </c>
      <c r="B35" s="33">
        <f>IF((B19*($B$26-($B$27-0.05*$B$27)-$B$60))&lt;0,0,B19*($B$26-($B$27-0.05*$B$27)-$B$60))</f>
        <v>25.33571297044621</v>
      </c>
      <c r="C35" s="33">
        <f>B35/2</f>
        <v>12.667856485223105</v>
      </c>
      <c r="D35" s="230"/>
    </row>
    <row r="36" spans="1:6">
      <c r="A36" s="168" t="s">
        <v>77</v>
      </c>
      <c r="B36" s="33">
        <f>IF((B18*($B$26-($B$27-0.05*$B$27)-$B$60))&lt;0,0,B18*($B$26-($B$27-0.05*$B$27)-$B$60))</f>
        <v>874.27448190863731</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31395.865062566081</v>
      </c>
      <c r="C5" s="17">
        <f>IF(ISERROR('Eigen informatie GS &amp; warmtenet'!B58),0,'Eigen informatie GS &amp; warmtenet'!B58)</f>
        <v>0</v>
      </c>
      <c r="D5" s="30">
        <f>SUM(D6:D12)</f>
        <v>34534.062864319152</v>
      </c>
      <c r="E5" s="17">
        <f>SUM(E6:E12)</f>
        <v>459.06260388828969</v>
      </c>
      <c r="F5" s="17">
        <f>SUM(F6:F12)</f>
        <v>5582.9743253473243</v>
      </c>
      <c r="G5" s="18"/>
      <c r="H5" s="17"/>
      <c r="I5" s="17"/>
      <c r="J5" s="17">
        <f>SUM(J6:J12)</f>
        <v>0</v>
      </c>
      <c r="K5" s="17"/>
      <c r="L5" s="17"/>
      <c r="M5" s="17"/>
      <c r="N5" s="17">
        <f>SUM(N6:N12)</f>
        <v>904.49809336904661</v>
      </c>
      <c r="O5" s="17">
        <f>B38*B39*B40</f>
        <v>0</v>
      </c>
      <c r="P5" s="17">
        <f>B46*B47*B48/1000-B46*B47*B48/1000/B49</f>
        <v>19.066666666666666</v>
      </c>
      <c r="R5" s="32"/>
    </row>
    <row r="6" spans="1:18">
      <c r="A6" s="32" t="s">
        <v>53</v>
      </c>
      <c r="B6" s="37">
        <f>B26</f>
        <v>4249.8574246150501</v>
      </c>
      <c r="C6" s="33"/>
      <c r="D6" s="37">
        <f>IF(ISERROR(TER_kantoor_gas_kWh/1000),0,TER_kantoor_gas_kWh/1000)*0.902</f>
        <v>6282.5367745317581</v>
      </c>
      <c r="E6" s="33">
        <f>$C$26*'E Balans VL '!I12/100/3.6*1000000</f>
        <v>147.0111145625803</v>
      </c>
      <c r="F6" s="33">
        <f>$C$26*('E Balans VL '!L12+'E Balans VL '!N12)/100/3.6*1000000</f>
        <v>648.78586280680929</v>
      </c>
      <c r="G6" s="34"/>
      <c r="H6" s="33"/>
      <c r="I6" s="33"/>
      <c r="J6" s="33">
        <f>$C$26*('E Balans VL '!D12+'E Balans VL '!E12)/100/3.6*1000000</f>
        <v>0</v>
      </c>
      <c r="K6" s="33"/>
      <c r="L6" s="33"/>
      <c r="M6" s="33"/>
      <c r="N6" s="33">
        <f>$C$26*'E Balans VL '!Y12/100/3.6*1000000</f>
        <v>65.513572442176965</v>
      </c>
      <c r="O6" s="33"/>
      <c r="P6" s="33"/>
      <c r="R6" s="32"/>
    </row>
    <row r="7" spans="1:18">
      <c r="A7" s="32" t="s">
        <v>52</v>
      </c>
      <c r="B7" s="37">
        <f t="shared" ref="B7:B12" si="0">B27</f>
        <v>897.85762910537596</v>
      </c>
      <c r="C7" s="33"/>
      <c r="D7" s="37">
        <f>IF(ISERROR(TER_horeca_gas_kWh/1000),0,TER_horeca_gas_kWh/1000)*0.902</f>
        <v>1530.4752982329092</v>
      </c>
      <c r="E7" s="33">
        <f>$C$27*'E Balans VL '!I9/100/3.6*1000000</f>
        <v>49.205451137069261</v>
      </c>
      <c r="F7" s="33">
        <f>$C$27*('E Balans VL '!L9+'E Balans VL '!N9)/100/3.6*1000000</f>
        <v>151.94754404712333</v>
      </c>
      <c r="G7" s="34"/>
      <c r="H7" s="33"/>
      <c r="I7" s="33"/>
      <c r="J7" s="33">
        <f>$C$27*('E Balans VL '!D9+'E Balans VL '!E9)/100/3.6*1000000</f>
        <v>0</v>
      </c>
      <c r="K7" s="33"/>
      <c r="L7" s="33"/>
      <c r="M7" s="33"/>
      <c r="N7" s="33">
        <f>$C$27*'E Balans VL '!Y9/100/3.6*1000000</f>
        <v>0</v>
      </c>
      <c r="O7" s="33"/>
      <c r="P7" s="33"/>
      <c r="R7" s="32"/>
    </row>
    <row r="8" spans="1:18">
      <c r="A8" s="6" t="s">
        <v>51</v>
      </c>
      <c r="B8" s="37">
        <f t="shared" si="0"/>
        <v>15450.439416233599</v>
      </c>
      <c r="C8" s="33"/>
      <c r="D8" s="37">
        <f>IF(ISERROR(TER_handel_gas_kWh/1000),0,TER_handel_gas_kWh/1000)*0.902</f>
        <v>10016.097553979913</v>
      </c>
      <c r="E8" s="33">
        <f>$C$28*'E Balans VL '!I13/100/3.6*1000000</f>
        <v>78.166411160669384</v>
      </c>
      <c r="F8" s="33">
        <f>$C$28*('E Balans VL '!L13+'E Balans VL '!N13)/100/3.6*1000000</f>
        <v>2347.5734279888698</v>
      </c>
      <c r="G8" s="34"/>
      <c r="H8" s="33"/>
      <c r="I8" s="33"/>
      <c r="J8" s="33">
        <f>$C$28*('E Balans VL '!D13+'E Balans VL '!E13)/100/3.6*1000000</f>
        <v>0</v>
      </c>
      <c r="K8" s="33"/>
      <c r="L8" s="33"/>
      <c r="M8" s="33"/>
      <c r="N8" s="33">
        <f>$C$28*'E Balans VL '!Y13/100/3.6*1000000</f>
        <v>7.2250390682041692</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2902.30495084514</v>
      </c>
      <c r="C10" s="33"/>
      <c r="D10" s="37">
        <f>IF(ISERROR(TER_ander_gas_kWh/1000),0,TER_ander_gas_kWh/1000)*0.902</f>
        <v>1223.522438074335</v>
      </c>
      <c r="E10" s="33">
        <f>$C$30*'E Balans VL '!I14/100/3.6*1000000</f>
        <v>17.668213022141256</v>
      </c>
      <c r="F10" s="33">
        <f>$C$30*('E Balans VL '!L14+'E Balans VL '!N14)/100/3.6*1000000</f>
        <v>768.38357286471921</v>
      </c>
      <c r="G10" s="34"/>
      <c r="H10" s="33"/>
      <c r="I10" s="33"/>
      <c r="J10" s="33">
        <f>$C$30*('E Balans VL '!D14+'E Balans VL '!E14)/100/3.6*1000000</f>
        <v>0</v>
      </c>
      <c r="K10" s="33"/>
      <c r="L10" s="33"/>
      <c r="M10" s="33"/>
      <c r="N10" s="33">
        <f>$C$30*'E Balans VL '!Y14/100/3.6*1000000</f>
        <v>604.47485364283148</v>
      </c>
      <c r="O10" s="33"/>
      <c r="P10" s="33"/>
      <c r="R10" s="32"/>
    </row>
    <row r="11" spans="1:18">
      <c r="A11" s="32" t="s">
        <v>54</v>
      </c>
      <c r="B11" s="37">
        <f t="shared" si="0"/>
        <v>106.743123290753</v>
      </c>
      <c r="C11" s="33"/>
      <c r="D11" s="37">
        <f>IF(ISERROR(TER_onderwijs_gas_kWh/1000),0,TER_onderwijs_gas_kWh/1000)*0.902</f>
        <v>798.49680928605471</v>
      </c>
      <c r="E11" s="33">
        <f>$C$31*'E Balans VL '!I11/100/3.6*1000000</f>
        <v>0.13247745782022866</v>
      </c>
      <c r="F11" s="33">
        <f>$C$31*('E Balans VL '!L11+'E Balans VL '!N11)/100/3.6*1000000</f>
        <v>125.80235951104878</v>
      </c>
      <c r="G11" s="34"/>
      <c r="H11" s="33"/>
      <c r="I11" s="33"/>
      <c r="J11" s="33">
        <f>$C$31*('E Balans VL '!D11+'E Balans VL '!E11)/100/3.6*1000000</f>
        <v>0</v>
      </c>
      <c r="K11" s="33"/>
      <c r="L11" s="33"/>
      <c r="M11" s="33"/>
      <c r="N11" s="33">
        <f>$C$31*'E Balans VL '!Y11/100/3.6*1000000</f>
        <v>0.51235702233556657</v>
      </c>
      <c r="O11" s="33"/>
      <c r="P11" s="33"/>
      <c r="R11" s="32"/>
    </row>
    <row r="12" spans="1:18">
      <c r="A12" s="32" t="s">
        <v>249</v>
      </c>
      <c r="B12" s="37">
        <f t="shared" si="0"/>
        <v>7788.6625184761606</v>
      </c>
      <c r="C12" s="33"/>
      <c r="D12" s="37">
        <f>IF(ISERROR(TER_rest_gas_kWh/1000),0,TER_rest_gas_kWh/1000)*0.902</f>
        <v>14682.933990214186</v>
      </c>
      <c r="E12" s="33">
        <f>$C$32*'E Balans VL '!I8/100/3.6*1000000</f>
        <v>166.87893654800925</v>
      </c>
      <c r="F12" s="33">
        <f>$C$32*('E Balans VL '!L8+'E Balans VL '!N8)/100/3.6*1000000</f>
        <v>1540.4815581287535</v>
      </c>
      <c r="G12" s="34"/>
      <c r="H12" s="33"/>
      <c r="I12" s="33"/>
      <c r="J12" s="33">
        <f>$C$32*('E Balans VL '!D8+'E Balans VL '!E8)/100/3.6*1000000</f>
        <v>0</v>
      </c>
      <c r="K12" s="33"/>
      <c r="L12" s="33"/>
      <c r="M12" s="33"/>
      <c r="N12" s="33">
        <f>$C$32*'E Balans VL '!Y8/100/3.6*1000000</f>
        <v>226.77227119349843</v>
      </c>
      <c r="O12" s="33"/>
      <c r="P12" s="33"/>
      <c r="R12" s="32"/>
    </row>
    <row r="13" spans="1:18">
      <c r="A13" s="16" t="s">
        <v>483</v>
      </c>
      <c r="B13" s="243">
        <f ca="1">'lokale energieproductie'!N40+'lokale energieproductie'!N33</f>
        <v>0</v>
      </c>
      <c r="C13" s="243">
        <f ca="1">'lokale energieproductie'!O40+'lokale energieproductie'!O33</f>
        <v>0</v>
      </c>
      <c r="D13" s="302">
        <f ca="1">('lokale energieproductie'!P33+'lokale energieproductie'!P40)*(-1)</f>
        <v>0</v>
      </c>
      <c r="E13" s="244"/>
      <c r="F13" s="302">
        <f ca="1">('lokale energieproductie'!S33+'lokale energieproductie'!S40)*(-1)</f>
        <v>0</v>
      </c>
      <c r="G13" s="245"/>
      <c r="H13" s="244"/>
      <c r="I13" s="244"/>
      <c r="J13" s="244"/>
      <c r="K13" s="244"/>
      <c r="L13" s="302">
        <f ca="1">('lokale energieproductie'!U33+'lokale energieproductie'!T33+'lokale energieproductie'!U40+'lokale energieproductie'!T40)*(-1)</f>
        <v>0</v>
      </c>
      <c r="M13" s="244"/>
      <c r="N13" s="302">
        <f ca="1">('lokale energieproductie'!Q33+'lokale energieproductie'!R33+'lokale energieproductie'!V33+'lokale energieproductie'!Q40+'lokale energieproductie'!R40+'lokale energieproductie'!V40)*(-1)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31395.865062566081</v>
      </c>
      <c r="C16" s="21">
        <f ca="1">C5+C13+C14</f>
        <v>0</v>
      </c>
      <c r="D16" s="21">
        <f t="shared" ref="D16:N16" ca="1" si="1">MAX((D5+D13+D14),0)</f>
        <v>34534.062864319152</v>
      </c>
      <c r="E16" s="21">
        <f t="shared" si="1"/>
        <v>459.06260388828969</v>
      </c>
      <c r="F16" s="21">
        <f t="shared" ca="1" si="1"/>
        <v>5582.9743253473243</v>
      </c>
      <c r="G16" s="21">
        <f t="shared" si="1"/>
        <v>0</v>
      </c>
      <c r="H16" s="21">
        <f t="shared" si="1"/>
        <v>0</v>
      </c>
      <c r="I16" s="21">
        <f t="shared" si="1"/>
        <v>0</v>
      </c>
      <c r="J16" s="21">
        <f t="shared" si="1"/>
        <v>0</v>
      </c>
      <c r="K16" s="21">
        <f t="shared" si="1"/>
        <v>0</v>
      </c>
      <c r="L16" s="21">
        <f t="shared" ca="1" si="1"/>
        <v>0</v>
      </c>
      <c r="M16" s="21">
        <f t="shared" si="1"/>
        <v>0</v>
      </c>
      <c r="N16" s="21">
        <f t="shared" ca="1" si="1"/>
        <v>904.49809336904661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0.21995937637717869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6905.8148999840878</v>
      </c>
      <c r="C20" s="23">
        <f t="shared" ref="C20:P20" ca="1" si="2">C16*C18</f>
        <v>0</v>
      </c>
      <c r="D20" s="23">
        <f t="shared" ca="1" si="2"/>
        <v>6975.8806985924693</v>
      </c>
      <c r="E20" s="23">
        <f t="shared" si="2"/>
        <v>104.20721108264176</v>
      </c>
      <c r="F20" s="23">
        <f t="shared" ca="1" si="2"/>
        <v>1490.6541448677358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4249.8574246150501</v>
      </c>
      <c r="C26" s="39">
        <f>IF(ISERROR(B26*3.6/1000000/'E Balans VL '!Z12*100),0,B26*3.6/1000000/'E Balans VL '!Z12*100)</f>
        <v>8.8378784189784287E-2</v>
      </c>
      <c r="D26" s="233" t="s">
        <v>676</v>
      </c>
      <c r="F26" s="6"/>
    </row>
    <row r="27" spans="1:18">
      <c r="A27" s="228" t="s">
        <v>52</v>
      </c>
      <c r="B27" s="33">
        <f>IF(ISERROR(TER_horeca_ele_kWh/1000),0,TER_horeca_ele_kWh/1000)</f>
        <v>897.85762910537596</v>
      </c>
      <c r="C27" s="39">
        <f>IF(ISERROR(B27*3.6/1000000/'E Balans VL '!Z9*100),0,B27*3.6/1000000/'E Balans VL '!Z9*100)</f>
        <v>7.3849427158492076E-2</v>
      </c>
      <c r="D27" s="233" t="s">
        <v>676</v>
      </c>
      <c r="F27" s="6"/>
    </row>
    <row r="28" spans="1:18">
      <c r="A28" s="168" t="s">
        <v>51</v>
      </c>
      <c r="B28" s="33">
        <f>IF(ISERROR(TER_handel_ele_kWh/1000),0,TER_handel_ele_kWh/1000)</f>
        <v>15450.439416233599</v>
      </c>
      <c r="C28" s="39">
        <f>IF(ISERROR(B28*3.6/1000000/'E Balans VL '!Z13*100),0,B28*3.6/1000000/'E Balans VL '!Z13*100)</f>
        <v>0.42766514256142923</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2902.30495084514</v>
      </c>
      <c r="C30" s="39">
        <f>IF(ISERROR(B30*3.6/1000000/'E Balans VL '!Z14*100),0,B30*3.6/1000000/'E Balans VL '!Z14*100)</f>
        <v>0.22464627577195675</v>
      </c>
      <c r="D30" s="233" t="s">
        <v>676</v>
      </c>
      <c r="F30" s="6"/>
    </row>
    <row r="31" spans="1:18">
      <c r="A31" s="228" t="s">
        <v>54</v>
      </c>
      <c r="B31" s="33">
        <f>IF(ISERROR(TER_onderwijs_ele_kWh/1000),0,TER_onderwijs_ele_kWh/1000)</f>
        <v>106.743123290753</v>
      </c>
      <c r="C31" s="39">
        <f>IF(ISERROR(B31*3.6/1000000/'E Balans VL '!Z11*100),0,B31*3.6/1000000/'E Balans VL '!Z11*100)</f>
        <v>3.3259138093837487E-2</v>
      </c>
      <c r="D31" s="233" t="s">
        <v>676</v>
      </c>
    </row>
    <row r="32" spans="1:18">
      <c r="A32" s="228" t="s">
        <v>249</v>
      </c>
      <c r="B32" s="33">
        <f>IF(ISERROR(TER_rest_ele_kWh/1000),0,TER_rest_ele_kWh/1000)</f>
        <v>7788.6625184761606</v>
      </c>
      <c r="C32" s="39">
        <f>IF(ISERROR(B32*3.6/1000000/'E Balans VL '!Z8*100),0,B32*3.6/1000000/'E Balans VL '!Z8*100)</f>
        <v>6.4225931886386534E-2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30141.155884793126</v>
      </c>
      <c r="C5" s="17">
        <f>IF(ISERROR('Eigen informatie GS &amp; warmtenet'!B59),0,'Eigen informatie GS &amp; warmtenet'!B59)</f>
        <v>0</v>
      </c>
      <c r="D5" s="30">
        <f>SUM(D6:D15)</f>
        <v>59388.834176817581</v>
      </c>
      <c r="E5" s="17">
        <f>SUM(E6:E15)</f>
        <v>354.58473042869355</v>
      </c>
      <c r="F5" s="17">
        <f>SUM(F6:F15)</f>
        <v>5958.5751545561707</v>
      </c>
      <c r="G5" s="18"/>
      <c r="H5" s="17"/>
      <c r="I5" s="17"/>
      <c r="J5" s="17">
        <f>SUM(J6:J15)</f>
        <v>135.5559718381536</v>
      </c>
      <c r="K5" s="17"/>
      <c r="L5" s="17"/>
      <c r="M5" s="17"/>
      <c r="N5" s="17">
        <f>SUM(N6:N15)</f>
        <v>472.93637064952929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948.53640483646006</v>
      </c>
      <c r="C8" s="33"/>
      <c r="D8" s="37">
        <f>IF( ISERROR(IND_metaal_Gas_kWH/1000),0,IND_metaal_Gas_kWH/1000)*0.902</f>
        <v>31180.596026601492</v>
      </c>
      <c r="E8" s="33">
        <f>C30*'E Balans VL '!I18/100/3.6*1000000</f>
        <v>6.6651560317213034</v>
      </c>
      <c r="F8" s="33">
        <f>C30*'E Balans VL '!L18/100/3.6*1000000+C30*'E Balans VL '!N18/100/3.6*1000000</f>
        <v>104.14374776684741</v>
      </c>
      <c r="G8" s="34"/>
      <c r="H8" s="33"/>
      <c r="I8" s="33"/>
      <c r="J8" s="40">
        <f>C30*'E Balans VL '!D18/100/3.6*1000000+C30*'E Balans VL '!E18/100/3.6*1000000</f>
        <v>19.570350499338986</v>
      </c>
      <c r="K8" s="33"/>
      <c r="L8" s="33"/>
      <c r="M8" s="33"/>
      <c r="N8" s="33">
        <f>C30*'E Balans VL '!Y18/100/3.6*1000000</f>
        <v>3.5551827588456537</v>
      </c>
      <c r="O8" s="33"/>
      <c r="P8" s="33"/>
      <c r="R8" s="32"/>
    </row>
    <row r="9" spans="1:18">
      <c r="A9" s="6" t="s">
        <v>32</v>
      </c>
      <c r="B9" s="37">
        <f t="shared" si="0"/>
        <v>1223.5161737912799</v>
      </c>
      <c r="C9" s="33"/>
      <c r="D9" s="37">
        <f>IF( ISERROR(IND_andere_gas_kWh/1000),0,IND_andere_gas_kWh/1000)*0.902</f>
        <v>1146.7968108744315</v>
      </c>
      <c r="E9" s="33">
        <f>C31*'E Balans VL '!I19/100/3.6*1000000</f>
        <v>20.550452993993222</v>
      </c>
      <c r="F9" s="33">
        <f>C31*'E Balans VL '!L19/100/3.6*1000000+C31*'E Balans VL '!N19/100/3.6*1000000</f>
        <v>956.47525839206901</v>
      </c>
      <c r="G9" s="34"/>
      <c r="H9" s="33"/>
      <c r="I9" s="33"/>
      <c r="J9" s="40">
        <f>C31*'E Balans VL '!D19/100/3.6*1000000+C31*'E Balans VL '!E19/100/3.6*1000000</f>
        <v>0.11035035842775924</v>
      </c>
      <c r="K9" s="33"/>
      <c r="L9" s="33"/>
      <c r="M9" s="33"/>
      <c r="N9" s="33">
        <f>C31*'E Balans VL '!Y19/100/3.6*1000000</f>
        <v>90.682178066806955</v>
      </c>
      <c r="O9" s="33"/>
      <c r="P9" s="33"/>
      <c r="R9" s="32"/>
    </row>
    <row r="10" spans="1:18">
      <c r="A10" s="6" t="s">
        <v>40</v>
      </c>
      <c r="B10" s="37">
        <f t="shared" si="0"/>
        <v>19054.377716664298</v>
      </c>
      <c r="C10" s="33"/>
      <c r="D10" s="37">
        <f>IF( ISERROR(IND_voed_gas_kWh/1000),0,IND_voed_gas_kWh/1000)*0.902</f>
        <v>20602.484187759699</v>
      </c>
      <c r="E10" s="33">
        <f>C32*'E Balans VL '!I20/100/3.6*1000000</f>
        <v>173.84422424056558</v>
      </c>
      <c r="F10" s="33">
        <f>C32*'E Balans VL '!L20/100/3.6*1000000+C32*'E Balans VL '!N20/100/3.6*1000000</f>
        <v>3074.0671117546108</v>
      </c>
      <c r="G10" s="34"/>
      <c r="H10" s="33"/>
      <c r="I10" s="33"/>
      <c r="J10" s="40">
        <f>C32*'E Balans VL '!D20/100/3.6*1000000+C32*'E Balans VL '!E20/100/3.6*1000000</f>
        <v>78.47842009196259</v>
      </c>
      <c r="K10" s="33"/>
      <c r="L10" s="33"/>
      <c r="M10" s="33"/>
      <c r="N10" s="33">
        <f>C32*'E Balans VL '!Y20/100/3.6*1000000</f>
        <v>278.75052119628208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3360.7534148004502</v>
      </c>
      <c r="C13" s="33"/>
      <c r="D13" s="37">
        <f>IF( ISERROR(IND_papier_gas_kWh/1000),0,IND_papier_gas_kWh/1000)*0.902</f>
        <v>3785.9497193932402</v>
      </c>
      <c r="E13" s="33">
        <f>C35*'E Balans VL '!I23/100/3.6*1000000</f>
        <v>103.40161178814533</v>
      </c>
      <c r="F13" s="33">
        <f>C35*'E Balans VL '!L23/100/3.6*1000000+C35*'E Balans VL '!N23/100/3.6*1000000</f>
        <v>713.6054013546742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5553.9721747006397</v>
      </c>
      <c r="C15" s="33"/>
      <c r="D15" s="37">
        <f>IF( ISERROR(IND_rest_gas_kWh/1000),0,IND_rest_gas_kWh/1000)*0.902</f>
        <v>2673.007432188725</v>
      </c>
      <c r="E15" s="33">
        <f>C37*'E Balans VL '!I15/100/3.6*1000000</f>
        <v>50.123285374268114</v>
      </c>
      <c r="F15" s="33">
        <f>C37*'E Balans VL '!L15/100/3.6*1000000+C37*'E Balans VL '!N15/100/3.6*1000000</f>
        <v>1110.2836352879699</v>
      </c>
      <c r="G15" s="34"/>
      <c r="H15" s="33"/>
      <c r="I15" s="33"/>
      <c r="J15" s="40">
        <f>C37*'E Balans VL '!D15/100/3.6*1000000+C37*'E Balans VL '!E15/100/3.6*1000000</f>
        <v>37.396850888424275</v>
      </c>
      <c r="K15" s="33"/>
      <c r="L15" s="33"/>
      <c r="M15" s="33"/>
      <c r="N15" s="33">
        <f>C37*'E Balans VL '!Y15/100/3.6*1000000</f>
        <v>99.948488627594628</v>
      </c>
      <c r="O15" s="33"/>
      <c r="P15" s="33"/>
      <c r="R15" s="32"/>
    </row>
    <row r="16" spans="1:18">
      <c r="A16" s="16" t="s">
        <v>483</v>
      </c>
      <c r="B16" s="243">
        <f>'lokale energieproductie'!N39+'lokale energieproductie'!N32</f>
        <v>18891</v>
      </c>
      <c r="C16" s="243">
        <f>'lokale energieproductie'!O39+'lokale energieproductie'!O32</f>
        <v>26987.142857142859</v>
      </c>
      <c r="D16" s="302">
        <f>('lokale energieproductie'!P32+'lokale energieproductie'!P39)*(-1)</f>
        <v>-53974.285714285717</v>
      </c>
      <c r="E16" s="244"/>
      <c r="F16" s="302">
        <f>('lokale energieproductie'!S32+'lokale energieproductie'!S39)*(-1)</f>
        <v>0</v>
      </c>
      <c r="G16" s="245"/>
      <c r="H16" s="244"/>
      <c r="I16" s="244"/>
      <c r="J16" s="244"/>
      <c r="K16" s="244"/>
      <c r="L16" s="302">
        <f>('lokale energieproductie'!T32+'lokale energieproductie'!U32+'lokale energieproductie'!T39+'lokale energieproductie'!U39)*(-1)</f>
        <v>0</v>
      </c>
      <c r="M16" s="244"/>
      <c r="N16" s="302">
        <f>('lokale energieproductie'!Q32+'lokale energieproductie'!R32+'lokale energieproductie'!V32+'lokale energieproductie'!Q39+'lokale energieproductie'!R39+'lokale energieproductie'!V39)*(-1)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49032.15588479313</v>
      </c>
      <c r="C18" s="21">
        <f>C5+C16</f>
        <v>26987.142857142859</v>
      </c>
      <c r="D18" s="21">
        <f>MAX((D5+D16),0)</f>
        <v>5414.5484625318641</v>
      </c>
      <c r="E18" s="21">
        <f>MAX((E5+E16),0)</f>
        <v>354.58473042869355</v>
      </c>
      <c r="F18" s="21">
        <f>MAX((F5+F16),0)</f>
        <v>5958.5751545561707</v>
      </c>
      <c r="G18" s="21"/>
      <c r="H18" s="21"/>
      <c r="I18" s="21"/>
      <c r="J18" s="21">
        <f>MAX((J5+J16),0)</f>
        <v>135.5559718381536</v>
      </c>
      <c r="K18" s="21"/>
      <c r="L18" s="21">
        <f>MAX((L5+L16),0)</f>
        <v>0</v>
      </c>
      <c r="M18" s="21"/>
      <c r="N18" s="21">
        <f>MAX((N5+N16),0)</f>
        <v>472.93637064952929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0.21995937637717869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10785.082430847709</v>
      </c>
      <c r="C22" s="23">
        <f ca="1">C18*C20</f>
        <v>6413.4151260504223</v>
      </c>
      <c r="D22" s="23">
        <f>D18*D20</f>
        <v>1093.7387894314365</v>
      </c>
      <c r="E22" s="23">
        <f>E18*E20</f>
        <v>80.490733807313433</v>
      </c>
      <c r="F22" s="23">
        <f>F18*F20</f>
        <v>1590.9395662664976</v>
      </c>
      <c r="G22" s="23"/>
      <c r="H22" s="23"/>
      <c r="I22" s="23"/>
      <c r="J22" s="23">
        <f>J18*J20</f>
        <v>47.98681403070637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948.53640483646006</v>
      </c>
      <c r="C30" s="39">
        <f>IF(ISERROR(B30*3.6/1000000/'E Balans VL '!Z18*100),0,B30*3.6/1000000/'E Balans VL '!Z18*100)</f>
        <v>6.3144647694829956E-2</v>
      </c>
      <c r="D30" s="233" t="s">
        <v>676</v>
      </c>
    </row>
    <row r="31" spans="1:18">
      <c r="A31" s="6" t="s">
        <v>32</v>
      </c>
      <c r="B31" s="37">
        <f>IF( ISERROR(IND_ander_ele_kWh/1000),0,IND_ander_ele_kWh/1000)</f>
        <v>1223.5161737912799</v>
      </c>
      <c r="C31" s="39">
        <f>IF(ISERROR(B31*3.6/1000000/'E Balans VL '!Z19*100),0,B31*3.6/1000000/'E Balans VL '!Z19*100)</f>
        <v>5.42336232545984E-2</v>
      </c>
      <c r="D31" s="233" t="s">
        <v>676</v>
      </c>
    </row>
    <row r="32" spans="1:18">
      <c r="A32" s="168" t="s">
        <v>40</v>
      </c>
      <c r="B32" s="37">
        <f>IF( ISERROR(IND_voed_ele_kWh/1000),0,IND_voed_ele_kWh/1000)</f>
        <v>19054.377716664298</v>
      </c>
      <c r="C32" s="39">
        <f>IF(ISERROR(B32*3.6/1000000/'E Balans VL '!Z20*100),0,B32*3.6/1000000/'E Balans VL '!Z20*100)</f>
        <v>0.63647087567187854</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3360.7534148004502</v>
      </c>
      <c r="C35" s="39">
        <f>IF(ISERROR(B35*3.6/1000000/'E Balans VL '!Z22*100),0,B35*3.6/1000000/'E Balans VL '!Z22*100)</f>
        <v>0.65362962340084574</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5553.9721747006397</v>
      </c>
      <c r="C37" s="39">
        <f>IF(ISERROR(B37*3.6/1000000/'E Balans VL '!Z15*100),0,B37*3.6/1000000/'E Balans VL '!Z15*100)</f>
        <v>4.1312504785124438E-2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477.19620793991402</v>
      </c>
      <c r="C5" s="17">
        <f>'Eigen informatie GS &amp; warmtenet'!B60</f>
        <v>0</v>
      </c>
      <c r="D5" s="30">
        <f>IF(ISERROR(SUM(LB_lb_gas_kWh,LB_rest_gas_kWh)/1000),0,SUM(LB_lb_gas_kWh,LB_rest_gas_kWh)/1000)*0.902</f>
        <v>7795.9834926632093</v>
      </c>
      <c r="E5" s="17">
        <f>B17*'E Balans VL '!I25/3.6*1000000/100</f>
        <v>4.3001433421581927</v>
      </c>
      <c r="F5" s="17">
        <f>B17*('E Balans VL '!L25/3.6*1000000+'E Balans VL '!N25/3.6*1000000)/100</f>
        <v>1788.0687451532626</v>
      </c>
      <c r="G5" s="18"/>
      <c r="H5" s="17"/>
      <c r="I5" s="17"/>
      <c r="J5" s="17">
        <f>('E Balans VL '!D25+'E Balans VL '!E25)/3.6*1000000*landbouw!B17/100</f>
        <v>48.290282615113419</v>
      </c>
      <c r="K5" s="17"/>
      <c r="L5" s="17">
        <f>L6*(-1)</f>
        <v>0</v>
      </c>
      <c r="M5" s="17"/>
      <c r="N5" s="17">
        <f>N6*(-1)</f>
        <v>0</v>
      </c>
      <c r="O5" s="17"/>
      <c r="P5" s="17"/>
      <c r="R5" s="32"/>
    </row>
    <row r="6" spans="1:18">
      <c r="A6" s="16" t="s">
        <v>483</v>
      </c>
      <c r="B6" s="17" t="s">
        <v>204</v>
      </c>
      <c r="C6" s="17">
        <f>'lokale energieproductie'!O41+'lokale energieproductie'!O34</f>
        <v>7375.7142857142862</v>
      </c>
      <c r="D6" s="302">
        <f>('lokale energieproductie'!P34+'lokale energieproductie'!P41)*(-1)</f>
        <v>-14751.428571428572</v>
      </c>
      <c r="E6" s="244"/>
      <c r="F6" s="302">
        <f>('lokale energieproductie'!S34+'lokale energieproductie'!S41)*(-1)</f>
        <v>0</v>
      </c>
      <c r="G6" s="245"/>
      <c r="H6" s="244"/>
      <c r="I6" s="244"/>
      <c r="J6" s="244"/>
      <c r="K6" s="244"/>
      <c r="L6" s="302">
        <f>('lokale energieproductie'!T34+'lokale energieproductie'!U34+'lokale energieproductie'!T41+'lokale energieproductie'!U41)*(-1)</f>
        <v>0</v>
      </c>
      <c r="M6" s="244"/>
      <c r="N6" s="302">
        <f>('lokale energieproductie'!V34+'lokale energieproductie'!R34+'lokale energieproductie'!Q34+'lokale energieproductie'!Q41+'lokale energieproductie'!R41+'lokale energieproductie'!V41)*(-1)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477.19620793991402</v>
      </c>
      <c r="C8" s="21">
        <f>C5+C6</f>
        <v>7375.7142857142862</v>
      </c>
      <c r="D8" s="21">
        <f>MAX((D5+D6),0)</f>
        <v>0</v>
      </c>
      <c r="E8" s="21">
        <f>MAX((E5+E6),0)</f>
        <v>4.3001433421581927</v>
      </c>
      <c r="F8" s="21">
        <f>MAX((F5+F6),0)</f>
        <v>1788.0687451532626</v>
      </c>
      <c r="G8" s="21"/>
      <c r="H8" s="21"/>
      <c r="I8" s="21"/>
      <c r="J8" s="21">
        <f>MAX((J5+J6),0)</f>
        <v>48.290282615113419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0.21995937637717869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104.96378030801797</v>
      </c>
      <c r="C12" s="23">
        <f ca="1">C8*C10</f>
        <v>1752.8168067226895</v>
      </c>
      <c r="D12" s="23">
        <f>D8*D10</f>
        <v>0</v>
      </c>
      <c r="E12" s="23">
        <f>E8*E10</f>
        <v>0.97613253866990979</v>
      </c>
      <c r="F12" s="23">
        <f>F8*F10</f>
        <v>477.41435495592117</v>
      </c>
      <c r="G12" s="23"/>
      <c r="H12" s="23"/>
      <c r="I12" s="23"/>
      <c r="J12" s="23">
        <f>J8*J10</f>
        <v>17.094760045750149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7.3449707991053284E-2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5.1484617093995277</v>
      </c>
      <c r="C26" s="243">
        <f>B26*'GWP N2O_CH4'!B5</f>
        <v>108.11769589739008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0.54850469874193319</v>
      </c>
      <c r="C27" s="243">
        <f>B27*'GWP N2O_CH4'!B5</f>
        <v>11.518598673580597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9.5326891084084264E-2</v>
      </c>
      <c r="C28" s="243">
        <f>B28*'GWP N2O_CH4'!B4</f>
        <v>29.55133623606612</v>
      </c>
      <c r="D28" s="50"/>
    </row>
    <row r="29" spans="1:4">
      <c r="A29" s="41" t="s">
        <v>266</v>
      </c>
      <c r="B29" s="243">
        <f>B34*'ha_N2O bodem landbouw'!B4</f>
        <v>1.866971744027192</v>
      </c>
      <c r="C29" s="243">
        <f>B29*'GWP N2O_CH4'!B4</f>
        <v>578.76124064842952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4.8472376692815976E-4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9.0692499096471391E-6</v>
      </c>
      <c r="C5" s="431" t="s">
        <v>204</v>
      </c>
      <c r="D5" s="416">
        <f>SUM(D6:D11)</f>
        <v>2.678042586939499E-5</v>
      </c>
      <c r="E5" s="416">
        <f>SUM(E6:E11)</f>
        <v>3.2532192410779405E-3</v>
      </c>
      <c r="F5" s="429" t="s">
        <v>204</v>
      </c>
      <c r="G5" s="416">
        <f>SUM(G6:G11)</f>
        <v>0.78114620864798212</v>
      </c>
      <c r="H5" s="416">
        <f>SUM(H6:H11)</f>
        <v>9.7346686163980706E-2</v>
      </c>
      <c r="I5" s="431" t="s">
        <v>204</v>
      </c>
      <c r="J5" s="431" t="s">
        <v>204</v>
      </c>
      <c r="K5" s="431" t="s">
        <v>204</v>
      </c>
      <c r="L5" s="431" t="s">
        <v>204</v>
      </c>
      <c r="M5" s="416">
        <f>SUM(M6:M11)</f>
        <v>3.8131521503278407E-2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1.4540412998718112E-6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4.5896477238806801E-6</v>
      </c>
      <c r="E6" s="419">
        <f>vkm_GW_PW*SUMIFS(TableVerdeelsleutelVkm[LPG],TableVerdeelsleutelVkm[Voertuigtype],"Lichte voertuigen")*SUMIFS(TableECFTransport[EnergieConsumptieFactor (PJ per km)],TableECFTransport[Index],CONCATENATE($A6,"_LPG_LPG"))</f>
        <v>4.766737559079307E-4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6.3627601113451115E-2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1.5980511468665148E-2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3.4765289384886358E-3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7.5638106474366131E-8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3.4095807385776666E-2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1.0032470890948726E-6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1.4688652472888157E-3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4.7859559521050385E-7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2.562231274815572E-6</v>
      </c>
      <c r="E8" s="419">
        <f>vkm_NGW_PW*SUMIFS(TableVerdeelsleutelVkm[LPG],TableVerdeelsleutelVkm[Voertuigtype],"Lichte voertuigen")*SUMIFS(TableECFTransport[EnergieConsumptieFactor (PJ per km)],TableECFTransport[Index],CONCATENATE($A8,"_LPG_LPG"))</f>
        <v>2.5045846989917074E-4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3.1803180995807159E-2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8.425827922277607E-3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1.7578542428893936E-3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2.6160952468002415E-8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1.6334765297520974E-2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4.1882949494144987E-7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7.0370740307959339E-4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6.2943153411221715E-6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1.9628546870698739E-5</v>
      </c>
      <c r="E10" s="419">
        <f>vkm_SW_PW*SUMIFS(TableVerdeelsleutelVkm[LPG],TableVerdeelsleutelVkm[Voertuigtype],"Lichte voertuigen")*SUMIFS(TableECFTransport[EnergieConsumptieFactor (PJ per km)],TableECFTransport[Index],CONCATENATE($A10,"_LPG_LPG"))</f>
        <v>2.5260870152708391E-3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0.31319698163145876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7.292881537631736E-2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1.6848822280274369E-2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7.4049861450028486E-7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0.32208787222396751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1.0109320136558474E-5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1.3875743391257602E-2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2.5192360860130938</v>
      </c>
      <c r="C14" s="21"/>
      <c r="D14" s="21">
        <f t="shared" ref="D14:M14" si="0">((D5)*10^9/3600)+D12</f>
        <v>7.4390071859430522</v>
      </c>
      <c r="E14" s="21">
        <f t="shared" si="0"/>
        <v>903.67201141053897</v>
      </c>
      <c r="F14" s="21"/>
      <c r="G14" s="21">
        <f t="shared" si="0"/>
        <v>216985.05795777281</v>
      </c>
      <c r="H14" s="21">
        <f t="shared" si="0"/>
        <v>27040.746156661309</v>
      </c>
      <c r="I14" s="21"/>
      <c r="J14" s="21"/>
      <c r="K14" s="21"/>
      <c r="L14" s="21"/>
      <c r="M14" s="21">
        <f t="shared" si="0"/>
        <v>10592.089306466223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0.21995937637717869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0.55412959842632459</v>
      </c>
      <c r="C18" s="23"/>
      <c r="D18" s="23">
        <f t="shared" ref="D18:M18" si="1">D14*D16</f>
        <v>1.5026794515604966</v>
      </c>
      <c r="E18" s="23">
        <f t="shared" si="1"/>
        <v>205.13354659019237</v>
      </c>
      <c r="F18" s="23"/>
      <c r="G18" s="23">
        <f t="shared" si="1"/>
        <v>57935.010474725343</v>
      </c>
      <c r="H18" s="23">
        <f t="shared" si="1"/>
        <v>6733.1457930086663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4.2058993888175234E-5</v>
      </c>
      <c r="C50" s="313">
        <f t="shared" ref="C50:P50" si="2">SUM(C51:C52)</f>
        <v>0</v>
      </c>
      <c r="D50" s="313">
        <f t="shared" si="2"/>
        <v>0</v>
      </c>
      <c r="E50" s="313">
        <f t="shared" si="2"/>
        <v>0</v>
      </c>
      <c r="F50" s="313">
        <f t="shared" si="2"/>
        <v>0</v>
      </c>
      <c r="G50" s="313">
        <f t="shared" si="2"/>
        <v>9.1242764576984561E-3</v>
      </c>
      <c r="H50" s="313">
        <f t="shared" si="2"/>
        <v>0</v>
      </c>
      <c r="I50" s="313">
        <f t="shared" si="2"/>
        <v>0</v>
      </c>
      <c r="J50" s="313">
        <f t="shared" si="2"/>
        <v>0</v>
      </c>
      <c r="K50" s="313">
        <f t="shared" si="2"/>
        <v>0</v>
      </c>
      <c r="L50" s="313">
        <f t="shared" si="2"/>
        <v>0</v>
      </c>
      <c r="M50" s="313">
        <f t="shared" si="2"/>
        <v>3.9066646930057596E-4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4.2058993888175234E-5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9.1242764576984561E-3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3.9066646930057596E-4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11.683053857826453</v>
      </c>
      <c r="C54" s="21">
        <f t="shared" ref="C54:P54" si="3">(C50)*10^9/3600</f>
        <v>0</v>
      </c>
      <c r="D54" s="21">
        <f t="shared" si="3"/>
        <v>0</v>
      </c>
      <c r="E54" s="21">
        <f t="shared" si="3"/>
        <v>0</v>
      </c>
      <c r="F54" s="21">
        <f t="shared" si="3"/>
        <v>0</v>
      </c>
      <c r="G54" s="21">
        <f t="shared" si="3"/>
        <v>2534.5212382495715</v>
      </c>
      <c r="H54" s="21">
        <f t="shared" si="3"/>
        <v>0</v>
      </c>
      <c r="I54" s="21">
        <f t="shared" si="3"/>
        <v>0</v>
      </c>
      <c r="J54" s="21">
        <f t="shared" si="3"/>
        <v>0</v>
      </c>
      <c r="K54" s="21">
        <f t="shared" si="3"/>
        <v>0</v>
      </c>
      <c r="L54" s="21">
        <f t="shared" si="3"/>
        <v>0</v>
      </c>
      <c r="M54" s="21">
        <f t="shared" si="3"/>
        <v>108.51846369460443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0.21995937637717869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2.5697972407484984</v>
      </c>
      <c r="C58" s="23">
        <f t="shared" ref="C58:P58" ca="1" si="4">C54*C56</f>
        <v>0</v>
      </c>
      <c r="D58" s="23">
        <f t="shared" si="4"/>
        <v>0</v>
      </c>
      <c r="E58" s="23">
        <f t="shared" si="4"/>
        <v>0</v>
      </c>
      <c r="F58" s="23">
        <f t="shared" si="4"/>
        <v>0</v>
      </c>
      <c r="G58" s="23">
        <f t="shared" si="4"/>
        <v>676.71717061263564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2311.1921109696032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N31</f>
        <v>24054</v>
      </c>
      <c r="C8" s="542">
        <f>B50</f>
        <v>28298.823529411766</v>
      </c>
      <c r="D8" s="920"/>
      <c r="E8" s="920">
        <f>E50</f>
        <v>0</v>
      </c>
      <c r="F8" s="921"/>
      <c r="G8" s="543"/>
      <c r="H8" s="920">
        <f>I50</f>
        <v>0</v>
      </c>
      <c r="I8" s="920">
        <f>G50+F50</f>
        <v>0</v>
      </c>
      <c r="J8" s="920">
        <f>H50+D50+C50</f>
        <v>0</v>
      </c>
      <c r="K8" s="920"/>
      <c r="L8" s="920"/>
      <c r="M8" s="920"/>
      <c r="N8" s="544"/>
      <c r="O8" s="545">
        <f>C8*$C$12+D8*$D$12+E8*$E$12+F8*$F$12+G8*$G$12+H8*$H$12+I8*$I$12+J8*$J$12</f>
        <v>5716.3623529411771</v>
      </c>
      <c r="P8" s="1181"/>
      <c r="Q8" s="1182"/>
      <c r="S8" s="953"/>
      <c r="T8" s="1169"/>
      <c r="U8" s="1169"/>
    </row>
    <row r="9" spans="1:21" s="530" customFormat="1" ht="17.45" customHeight="1" thickBot="1">
      <c r="A9" s="546" t="s">
        <v>237</v>
      </c>
      <c r="B9" s="957">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26365.192110969605</v>
      </c>
      <c r="C10" s="554">
        <f t="shared" ref="C10:L10" si="0">SUM(C8:C9)</f>
        <v>28298.823529411766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5716.3623529411771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O31</f>
        <v>34362.857142857145</v>
      </c>
      <c r="C17" s="566">
        <f>B51</f>
        <v>40426.890756302528</v>
      </c>
      <c r="D17" s="567"/>
      <c r="E17" s="567">
        <f>E51</f>
        <v>0</v>
      </c>
      <c r="F17" s="568"/>
      <c r="G17" s="569"/>
      <c r="H17" s="566">
        <f>I51</f>
        <v>0</v>
      </c>
      <c r="I17" s="567">
        <f>G51+F51</f>
        <v>0</v>
      </c>
      <c r="J17" s="567">
        <f>H51+D51+C51</f>
        <v>0</v>
      </c>
      <c r="K17" s="567"/>
      <c r="L17" s="567"/>
      <c r="M17" s="567"/>
      <c r="N17" s="916"/>
      <c r="O17" s="570">
        <f>C17*$C$22+E17*$E$22+H17*$H$22+I17*$I$22+J17*$J$22+D17*$D$22+F17*$F$22+G17*$G$22+K17*$K$22+L17*$L$22</f>
        <v>8166.2319327731111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34362.857142857145</v>
      </c>
      <c r="C20" s="553">
        <f>SUM(C17:C19)</f>
        <v>40426.890756302528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8166.2319327731111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11052</v>
      </c>
      <c r="C28" s="736">
        <v>2160</v>
      </c>
      <c r="D28" s="626"/>
      <c r="E28" s="625"/>
      <c r="F28" s="625"/>
      <c r="G28" s="625" t="s">
        <v>962</v>
      </c>
      <c r="H28" s="625" t="s">
        <v>963</v>
      </c>
      <c r="I28" s="625"/>
      <c r="J28" s="735"/>
      <c r="K28" s="735"/>
      <c r="L28" s="625" t="s">
        <v>964</v>
      </c>
      <c r="M28" s="625">
        <v>290</v>
      </c>
      <c r="N28" s="625">
        <v>1305</v>
      </c>
      <c r="O28" s="625">
        <v>1864.2857142857142</v>
      </c>
      <c r="P28" s="625">
        <v>3728.5714285714289</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11052</v>
      </c>
      <c r="C29" s="736">
        <v>2160</v>
      </c>
      <c r="D29" s="626"/>
      <c r="E29" s="625"/>
      <c r="F29" s="625"/>
      <c r="G29" s="625" t="s">
        <v>962</v>
      </c>
      <c r="H29" s="625" t="s">
        <v>963</v>
      </c>
      <c r="I29" s="625"/>
      <c r="J29" s="735"/>
      <c r="K29" s="735"/>
      <c r="L29" s="625" t="s">
        <v>965</v>
      </c>
      <c r="M29" s="625">
        <v>1286</v>
      </c>
      <c r="N29" s="625">
        <v>3858</v>
      </c>
      <c r="O29" s="625">
        <v>5511.4285714285716</v>
      </c>
      <c r="P29" s="625">
        <v>11022.857142857143</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11052</v>
      </c>
      <c r="C30" s="736">
        <v>2160</v>
      </c>
      <c r="D30" s="626"/>
      <c r="E30" s="625"/>
      <c r="F30" s="625"/>
      <c r="G30" s="625" t="s">
        <v>962</v>
      </c>
      <c r="H30" s="625" t="s">
        <v>963</v>
      </c>
      <c r="I30" s="625"/>
      <c r="J30" s="735"/>
      <c r="K30" s="735"/>
      <c r="L30" s="625" t="s">
        <v>965</v>
      </c>
      <c r="M30" s="625">
        <v>4198</v>
      </c>
      <c r="N30" s="625">
        <v>18891</v>
      </c>
      <c r="O30" s="625">
        <v>26987.142857142859</v>
      </c>
      <c r="P30" s="625">
        <v>53974.285714285717</v>
      </c>
      <c r="Q30" s="625">
        <v>0</v>
      </c>
      <c r="R30" s="625">
        <v>0</v>
      </c>
      <c r="S30" s="625">
        <v>0</v>
      </c>
      <c r="T30" s="625">
        <v>0</v>
      </c>
      <c r="U30" s="625">
        <v>0</v>
      </c>
      <c r="V30" s="625">
        <v>0</v>
      </c>
      <c r="W30" s="625">
        <v>0</v>
      </c>
      <c r="X30" s="625"/>
      <c r="Y30" s="625">
        <v>800</v>
      </c>
      <c r="Z30" s="625" t="s">
        <v>35</v>
      </c>
      <c r="AA30" s="627" t="s">
        <v>378</v>
      </c>
    </row>
    <row r="31" spans="1:27" s="561" customFormat="1" hidden="1">
      <c r="A31" s="581" t="s">
        <v>269</v>
      </c>
      <c r="B31" s="582"/>
      <c r="C31" s="582"/>
      <c r="D31" s="582"/>
      <c r="E31" s="582"/>
      <c r="F31" s="582"/>
      <c r="G31" s="582"/>
      <c r="H31" s="582"/>
      <c r="I31" s="582"/>
      <c r="J31" s="582"/>
      <c r="K31" s="582"/>
      <c r="L31" s="583"/>
      <c r="M31" s="583">
        <f>SUM(M28:M30)</f>
        <v>5774</v>
      </c>
      <c r="N31" s="583">
        <f>SUM(N28:N30)</f>
        <v>24054</v>
      </c>
      <c r="O31" s="583">
        <f>SUM(O28:O30)</f>
        <v>34362.857142857145</v>
      </c>
      <c r="P31" s="583">
        <f>SUM(P28:P30)</f>
        <v>68725.71428571429</v>
      </c>
      <c r="Q31" s="583">
        <f>SUM(Q28:Q30)</f>
        <v>0</v>
      </c>
      <c r="R31" s="583">
        <f>SUM(R28:R30)</f>
        <v>0</v>
      </c>
      <c r="S31" s="583">
        <f>SUM(S28:S30)</f>
        <v>0</v>
      </c>
      <c r="T31" s="583">
        <f>SUM(T28:T30)</f>
        <v>0</v>
      </c>
      <c r="U31" s="583">
        <f>SUM(U28:U30)</f>
        <v>0</v>
      </c>
      <c r="V31" s="583">
        <f>SUM(V28:V30)</f>
        <v>0</v>
      </c>
      <c r="W31" s="583">
        <f>SUM(W28:W30)</f>
        <v>0</v>
      </c>
      <c r="X31" s="583"/>
      <c r="Y31" s="584"/>
      <c r="Z31" s="584"/>
      <c r="AA31" s="585"/>
    </row>
    <row r="32" spans="1:27" s="561" customFormat="1">
      <c r="A32" s="581" t="s">
        <v>276</v>
      </c>
      <c r="B32" s="582"/>
      <c r="C32" s="582"/>
      <c r="D32" s="582"/>
      <c r="E32" s="582"/>
      <c r="F32" s="582"/>
      <c r="G32" s="582"/>
      <c r="H32" s="582"/>
      <c r="I32" s="582"/>
      <c r="J32" s="582"/>
      <c r="K32" s="582"/>
      <c r="L32" s="583"/>
      <c r="M32" s="583">
        <f>SUMIF($AA$28:$AA$30,"industrie",M28:M30)</f>
        <v>4198</v>
      </c>
      <c r="N32" s="583">
        <f>SUMIF($AA$28:$AA$30,"industrie",N28:N30)</f>
        <v>18891</v>
      </c>
      <c r="O32" s="583">
        <f>SUMIF($AA$28:$AA$30,"industrie",O28:O30)</f>
        <v>26987.142857142859</v>
      </c>
      <c r="P32" s="583">
        <f>SUMIF($AA$28:$AA$30,"industrie",P28:P30)</f>
        <v>53974.285714285717</v>
      </c>
      <c r="Q32" s="583">
        <f>SUMIF($AA$28:$AA$30,"industrie",Q28:Q30)</f>
        <v>0</v>
      </c>
      <c r="R32" s="583">
        <f>SUMIF($AA$28:$AA$30,"industrie",R28:R30)</f>
        <v>0</v>
      </c>
      <c r="S32" s="583">
        <f>SUMIF($AA$28:$AA$30,"industrie",S28:S30)</f>
        <v>0</v>
      </c>
      <c r="T32" s="583">
        <f>SUMIF($AA$28:$AA$30,"industrie",T28:T30)</f>
        <v>0</v>
      </c>
      <c r="U32" s="583">
        <f>SUMIF($AA$28:$AA$30,"industrie",U28:U30)</f>
        <v>0</v>
      </c>
      <c r="V32" s="583">
        <f>SUMIF($AA$28:$AA$30,"industrie",V28:V30)</f>
        <v>0</v>
      </c>
      <c r="W32" s="583">
        <f>SUMIF($AA$28:$AA$30,"industrie",W28:W30)</f>
        <v>0</v>
      </c>
      <c r="X32" s="583"/>
      <c r="Y32" s="584"/>
      <c r="Z32" s="584"/>
      <c r="AA32" s="585"/>
    </row>
    <row r="33" spans="1:28" s="561" customFormat="1">
      <c r="A33" s="581" t="s">
        <v>277</v>
      </c>
      <c r="B33" s="582"/>
      <c r="C33" s="582"/>
      <c r="D33" s="582"/>
      <c r="E33" s="582"/>
      <c r="F33" s="582"/>
      <c r="G33" s="582"/>
      <c r="H33" s="582"/>
      <c r="I33" s="582"/>
      <c r="J33" s="582"/>
      <c r="K33" s="582"/>
      <c r="L33" s="583"/>
      <c r="M33" s="583">
        <f ca="1">SUMIF($AA$28:AD30,"tertiair",M28:M30)</f>
        <v>0</v>
      </c>
      <c r="N33" s="583">
        <f ca="1">SUMIF($AA$28:AE30,"tertiair",N28:N30)</f>
        <v>0</v>
      </c>
      <c r="O33" s="583">
        <f ca="1">SUMIF($AA$28:AF30,"tertiair",O28:O30)</f>
        <v>0</v>
      </c>
      <c r="P33" s="583">
        <f ca="1">SUMIF($AA$28:AG30,"tertiair",P28:P30)</f>
        <v>0</v>
      </c>
      <c r="Q33" s="583">
        <f ca="1">SUMIF($AA$28:AH30,"tertiair",Q28:Q30)</f>
        <v>0</v>
      </c>
      <c r="R33" s="583">
        <f ca="1">SUMIF($AA$28:AI30,"tertiair",R28:R30)</f>
        <v>0</v>
      </c>
      <c r="S33" s="583">
        <f ca="1">SUMIF($AA$28:AJ30,"tertiair",S28:S30)</f>
        <v>0</v>
      </c>
      <c r="T33" s="583">
        <f ca="1">SUMIF($AA$28:AK30,"tertiair",T28:T30)</f>
        <v>0</v>
      </c>
      <c r="U33" s="583">
        <f ca="1">SUMIF($AA$28:AL30,"tertiair",U28:U30)</f>
        <v>0</v>
      </c>
      <c r="V33" s="583">
        <f ca="1">SUMIF($AA$28:AM30,"tertiair",V28:V30)</f>
        <v>0</v>
      </c>
      <c r="W33" s="583">
        <f ca="1">SUMIF($AA$28:AN30,"tertiair",W28:W30)</f>
        <v>0</v>
      </c>
      <c r="X33" s="583"/>
      <c r="Y33" s="584"/>
      <c r="Z33" s="584"/>
      <c r="AA33" s="585"/>
    </row>
    <row r="34" spans="1:28" s="561" customFormat="1" ht="15.75" thickBot="1">
      <c r="A34" s="586" t="s">
        <v>278</v>
      </c>
      <c r="B34" s="587"/>
      <c r="C34" s="587"/>
      <c r="D34" s="587"/>
      <c r="E34" s="587"/>
      <c r="F34" s="587"/>
      <c r="G34" s="587"/>
      <c r="H34" s="587"/>
      <c r="I34" s="587"/>
      <c r="J34" s="587"/>
      <c r="K34" s="587"/>
      <c r="L34" s="588"/>
      <c r="M34" s="588">
        <f>SUMIF($AA$28:$AA$30,"landbouw",M28:M30)</f>
        <v>1576</v>
      </c>
      <c r="N34" s="588">
        <f>SUMIF($AA$28:$AA$30,"landbouw",N28:N30)</f>
        <v>5163</v>
      </c>
      <c r="O34" s="588">
        <f>SUMIF($AA$28:$AA$30,"landbouw",O28:O30)</f>
        <v>7375.7142857142862</v>
      </c>
      <c r="P34" s="588">
        <f>SUMIF($AA$28:$AA$30,"landbouw",P28:P30)</f>
        <v>14751.428571428572</v>
      </c>
      <c r="Q34" s="588">
        <f>SUMIF($AA$28:$AA$30,"landbouw",Q28:Q30)</f>
        <v>0</v>
      </c>
      <c r="R34" s="588">
        <f>SUMIF($AA$28:$AA$30,"landbouw",R28:R30)</f>
        <v>0</v>
      </c>
      <c r="S34" s="588">
        <f>SUMIF($AA$28:$AA$30,"landbouw",S28:S30)</f>
        <v>0</v>
      </c>
      <c r="T34" s="588">
        <f>SUMIF($AA$28:$AA$30,"landbouw",T28:T30)</f>
        <v>0</v>
      </c>
      <c r="U34" s="588">
        <f>SUMIF($AA$28:$AA$30,"landbouw",U28:U30)</f>
        <v>0</v>
      </c>
      <c r="V34" s="588">
        <f>SUMIF($AA$28:$AA$30,"landbouw",V28:V30)</f>
        <v>0</v>
      </c>
      <c r="W34" s="588">
        <f>SUMIF($AA$28:$AA$30,"landbouw",W28:W30)</f>
        <v>0</v>
      </c>
      <c r="X34" s="588"/>
      <c r="Y34" s="589"/>
      <c r="Z34" s="589"/>
      <c r="AA34" s="590"/>
    </row>
    <row r="35" spans="1:28" s="530" customFormat="1" ht="15.75" thickBot="1">
      <c r="A35" s="591"/>
      <c r="B35" s="592"/>
      <c r="C35" s="592"/>
      <c r="D35" s="592"/>
      <c r="E35" s="592"/>
      <c r="F35" s="592"/>
      <c r="G35" s="592"/>
      <c r="H35" s="592"/>
      <c r="I35" s="592"/>
      <c r="J35" s="592"/>
      <c r="K35" s="592"/>
      <c r="L35" s="575"/>
      <c r="M35" s="575"/>
      <c r="N35" s="575"/>
      <c r="O35" s="576"/>
      <c r="P35" s="576"/>
    </row>
    <row r="36" spans="1:28" s="530" customFormat="1" ht="45">
      <c r="A36" s="593" t="s">
        <v>270</v>
      </c>
      <c r="B36" s="622" t="s">
        <v>89</v>
      </c>
      <c r="C36" s="622" t="s">
        <v>90</v>
      </c>
      <c r="D36" s="622"/>
      <c r="E36" s="622"/>
      <c r="F36" s="622"/>
      <c r="G36" s="622" t="s">
        <v>91</v>
      </c>
      <c r="H36" s="622" t="s">
        <v>92</v>
      </c>
      <c r="I36" s="622"/>
      <c r="J36" s="622"/>
      <c r="K36" s="622"/>
      <c r="L36" s="622" t="s">
        <v>93</v>
      </c>
      <c r="M36" s="623" t="s">
        <v>287</v>
      </c>
      <c r="N36" s="623" t="s">
        <v>94</v>
      </c>
      <c r="O36" s="623" t="s">
        <v>95</v>
      </c>
      <c r="P36" s="623" t="s">
        <v>528</v>
      </c>
      <c r="Q36" s="623" t="s">
        <v>96</v>
      </c>
      <c r="R36" s="623" t="s">
        <v>97</v>
      </c>
      <c r="S36" s="623" t="s">
        <v>98</v>
      </c>
      <c r="T36" s="623" t="s">
        <v>99</v>
      </c>
      <c r="U36" s="623" t="s">
        <v>100</v>
      </c>
      <c r="V36" s="623" t="s">
        <v>101</v>
      </c>
      <c r="W36" s="622" t="s">
        <v>102</v>
      </c>
      <c r="X36" s="622" t="s">
        <v>961</v>
      </c>
      <c r="Y36" s="622" t="s">
        <v>288</v>
      </c>
      <c r="Z36" s="622" t="s">
        <v>103</v>
      </c>
      <c r="AA36" s="624" t="s">
        <v>289</v>
      </c>
    </row>
    <row r="37" spans="1:28" s="594" customFormat="1" ht="12.75" hidden="1">
      <c r="A37" s="580"/>
      <c r="B37" s="736"/>
      <c r="C37" s="736"/>
      <c r="D37" s="628"/>
      <c r="E37" s="628"/>
      <c r="F37" s="628"/>
      <c r="G37" s="628"/>
      <c r="H37" s="628"/>
      <c r="I37" s="628"/>
      <c r="J37" s="735"/>
      <c r="K37" s="735"/>
      <c r="L37" s="628"/>
      <c r="M37" s="628"/>
      <c r="N37" s="628"/>
      <c r="O37" s="628"/>
      <c r="P37" s="628"/>
      <c r="Q37" s="628"/>
      <c r="R37" s="628"/>
      <c r="S37" s="628"/>
      <c r="T37" s="628"/>
      <c r="U37" s="628"/>
      <c r="V37" s="628"/>
      <c r="W37" s="628"/>
      <c r="X37" s="628"/>
      <c r="Y37" s="628"/>
      <c r="Z37" s="628"/>
      <c r="AA37" s="629"/>
    </row>
    <row r="38" spans="1:28" s="561" customFormat="1" hidden="1">
      <c r="A38" s="581" t="s">
        <v>269</v>
      </c>
      <c r="B38" s="582"/>
      <c r="C38" s="582"/>
      <c r="D38" s="582"/>
      <c r="E38" s="582"/>
      <c r="F38" s="582"/>
      <c r="G38" s="582"/>
      <c r="H38" s="582"/>
      <c r="I38" s="582"/>
      <c r="J38" s="582"/>
      <c r="K38" s="582"/>
      <c r="L38" s="583"/>
      <c r="M38" s="583">
        <f>SUM(M37:M37)</f>
        <v>0</v>
      </c>
      <c r="N38" s="583">
        <f>SUM(N37:N37)</f>
        <v>0</v>
      </c>
      <c r="O38" s="583">
        <f>SUM(O37:O37)</f>
        <v>0</v>
      </c>
      <c r="P38" s="583">
        <f>SUM(P37:P37)</f>
        <v>0</v>
      </c>
      <c r="Q38" s="583">
        <f>SUM(Q37:Q37)</f>
        <v>0</v>
      </c>
      <c r="R38" s="583">
        <f>SUM(R37:R37)</f>
        <v>0</v>
      </c>
      <c r="S38" s="583">
        <f>SUM(S37:S37)</f>
        <v>0</v>
      </c>
      <c r="T38" s="583">
        <f>SUM(T37:T37)</f>
        <v>0</v>
      </c>
      <c r="U38" s="583">
        <f>SUM(U37:U37)</f>
        <v>0</v>
      </c>
      <c r="V38" s="583">
        <f>SUM(V37:V37)</f>
        <v>0</v>
      </c>
      <c r="W38" s="583">
        <f>SUM(W37:W37)</f>
        <v>0</v>
      </c>
      <c r="X38" s="583"/>
      <c r="Y38" s="584"/>
      <c r="Z38" s="584"/>
      <c r="AA38" s="585"/>
    </row>
    <row r="39" spans="1:28" s="561" customFormat="1">
      <c r="A39" s="581" t="s">
        <v>276</v>
      </c>
      <c r="B39" s="582"/>
      <c r="C39" s="582"/>
      <c r="D39" s="582"/>
      <c r="E39" s="582"/>
      <c r="F39" s="582"/>
      <c r="G39" s="582"/>
      <c r="H39" s="582"/>
      <c r="I39" s="582"/>
      <c r="J39" s="582"/>
      <c r="K39" s="582"/>
      <c r="L39" s="583"/>
      <c r="M39" s="583">
        <f>SUMIF($AA$37:$AA$37,"industrie",M37:M37)</f>
        <v>0</v>
      </c>
      <c r="N39" s="583">
        <f>SUMIF($AA$37:$AA$37,"industrie",N37:N37)</f>
        <v>0</v>
      </c>
      <c r="O39" s="583">
        <f>SUMIF($AA$37:$AA$37,"industrie",O37:O37)</f>
        <v>0</v>
      </c>
      <c r="P39" s="583">
        <f>SUMIF($AA$37:$AA$37,"industrie",P37:P37)</f>
        <v>0</v>
      </c>
      <c r="Q39" s="583">
        <f>SUMIF($AA$37:$AA$37,"industrie",Q37:Q37)</f>
        <v>0</v>
      </c>
      <c r="R39" s="583">
        <f>SUMIF($AA$37:$AA$37,"industrie",R37:R37)</f>
        <v>0</v>
      </c>
      <c r="S39" s="583">
        <f>SUMIF($AA$37:$AA$37,"industrie",S37:S37)</f>
        <v>0</v>
      </c>
      <c r="T39" s="583">
        <f>SUMIF($AA$37:$AA$37,"industrie",T37:T37)</f>
        <v>0</v>
      </c>
      <c r="U39" s="583">
        <f>SUMIF($AA$37:$AA$37,"industrie",U37:U37)</f>
        <v>0</v>
      </c>
      <c r="V39" s="583">
        <f>SUMIF($AA$37:$AA$37,"industrie",V37:V37)</f>
        <v>0</v>
      </c>
      <c r="W39" s="583">
        <f>SUMIF($AA$37:$AA$37,"industrie",W37:W37)</f>
        <v>0</v>
      </c>
      <c r="X39" s="583"/>
      <c r="Y39" s="584"/>
      <c r="Z39" s="584"/>
      <c r="AA39" s="585"/>
    </row>
    <row r="40" spans="1:28" s="561" customFormat="1">
      <c r="A40" s="581" t="s">
        <v>277</v>
      </c>
      <c r="B40" s="582"/>
      <c r="C40" s="582"/>
      <c r="D40" s="582"/>
      <c r="E40" s="582"/>
      <c r="F40" s="582"/>
      <c r="G40" s="582"/>
      <c r="H40" s="582"/>
      <c r="I40" s="582"/>
      <c r="J40" s="582"/>
      <c r="K40" s="582"/>
      <c r="L40" s="583"/>
      <c r="M40" s="583">
        <f>SUMIF($AA$37:$AA$38,"tertiair",M37:M38)</f>
        <v>0</v>
      </c>
      <c r="N40" s="583">
        <f>SUMIF($AA$37:$AA$38,"tertiair",N37:N38)</f>
        <v>0</v>
      </c>
      <c r="O40" s="583">
        <f>SUMIF($AA$37:$AA$38,"tertiair",O37:O38)</f>
        <v>0</v>
      </c>
      <c r="P40" s="583">
        <f>SUMIF($AA$37:$AA$38,"tertiair",P37:P38)</f>
        <v>0</v>
      </c>
      <c r="Q40" s="583">
        <f>SUMIF($AA$37:$AA$38,"tertiair",Q37:Q38)</f>
        <v>0</v>
      </c>
      <c r="R40" s="583">
        <f>SUMIF($AA$37:$AA$38,"tertiair",R37:R38)</f>
        <v>0</v>
      </c>
      <c r="S40" s="583">
        <f>SUMIF($AA$37:$AA$38,"tertiair",S37:S38)</f>
        <v>0</v>
      </c>
      <c r="T40" s="583">
        <f>SUMIF($AA$37:$AA$38,"tertiair",T37:T38)</f>
        <v>0</v>
      </c>
      <c r="U40" s="583">
        <f>SUMIF($AA$37:$AA$38,"tertiair",U37:U38)</f>
        <v>0</v>
      </c>
      <c r="V40" s="583">
        <f>SUMIF($AA$37:$AA$38,"tertiair",V37:V38)</f>
        <v>0</v>
      </c>
      <c r="W40" s="583">
        <f>SUMIF($AA$37:$AA$38,"tertiair",W37:W38)</f>
        <v>0</v>
      </c>
      <c r="X40" s="583"/>
      <c r="Y40" s="584"/>
      <c r="Z40" s="584"/>
      <c r="AA40" s="585"/>
    </row>
    <row r="41" spans="1:28" s="561" customFormat="1" ht="15.75" thickBot="1">
      <c r="A41" s="586" t="s">
        <v>278</v>
      </c>
      <c r="B41" s="587"/>
      <c r="C41" s="587"/>
      <c r="D41" s="587"/>
      <c r="E41" s="587"/>
      <c r="F41" s="587"/>
      <c r="G41" s="587"/>
      <c r="H41" s="587"/>
      <c r="I41" s="587"/>
      <c r="J41" s="587"/>
      <c r="K41" s="587"/>
      <c r="L41" s="588"/>
      <c r="M41" s="588">
        <f>SUMIF($AA$37:$AA$39,"landbouw",M37:M39)</f>
        <v>0</v>
      </c>
      <c r="N41" s="588">
        <f>SUMIF($AA$37:$AA$39,"landbouw",N37:N39)</f>
        <v>0</v>
      </c>
      <c r="O41" s="588">
        <f>SUMIF($AA$37:$AA$39,"landbouw",O37:O39)</f>
        <v>0</v>
      </c>
      <c r="P41" s="588">
        <f>SUMIF($AA$37:$AA$39,"landbouw",P37:P39)</f>
        <v>0</v>
      </c>
      <c r="Q41" s="588">
        <f>SUMIF($AA$37:$AA$39,"landbouw",Q37:Q39)</f>
        <v>0</v>
      </c>
      <c r="R41" s="588">
        <f>SUMIF($AA$37:$AA$39,"landbouw",R37:R39)</f>
        <v>0</v>
      </c>
      <c r="S41" s="588">
        <f>SUMIF($AA$37:$AA$39,"landbouw",S37:S39)</f>
        <v>0</v>
      </c>
      <c r="T41" s="588">
        <f>SUMIF($AA$37:$AA$39,"landbouw",T37:T39)</f>
        <v>0</v>
      </c>
      <c r="U41" s="588">
        <f>SUMIF($AA$37:$AA$39,"landbouw",U37:U39)</f>
        <v>0</v>
      </c>
      <c r="V41" s="588">
        <f>SUMIF($AA$37:$AA$39,"landbouw",V37:V39)</f>
        <v>0</v>
      </c>
      <c r="W41" s="588">
        <f>SUMIF($AA$37:$AA$39,"landbouw",W37:W39)</f>
        <v>0</v>
      </c>
      <c r="X41" s="588"/>
      <c r="Y41" s="589"/>
      <c r="Z41" s="589"/>
      <c r="AA41" s="590"/>
    </row>
    <row r="42" spans="1:28" s="595" customForma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row>
    <row r="43" spans="1:28" s="595" customFormat="1" ht="15.75" thickBo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row>
    <row r="44" spans="1:28">
      <c r="A44" s="596" t="s">
        <v>271</v>
      </c>
      <c r="B44" s="597"/>
      <c r="C44" s="597"/>
      <c r="D44" s="597"/>
      <c r="E44" s="597"/>
      <c r="F44" s="597"/>
      <c r="G44" s="597"/>
      <c r="H44" s="597"/>
      <c r="I44" s="598"/>
      <c r="J44" s="599"/>
      <c r="K44" s="599"/>
      <c r="L44" s="600"/>
      <c r="M44" s="600"/>
      <c r="N44" s="600"/>
      <c r="O44" s="600"/>
      <c r="P44" s="600"/>
    </row>
    <row r="45" spans="1:28">
      <c r="A45" s="602"/>
      <c r="B45" s="592"/>
      <c r="C45" s="592"/>
      <c r="D45" s="592"/>
      <c r="E45" s="592"/>
      <c r="F45" s="592"/>
      <c r="G45" s="592"/>
      <c r="H45" s="592"/>
      <c r="I45" s="603"/>
      <c r="J45" s="592"/>
      <c r="K45" s="592"/>
      <c r="L45" s="600"/>
      <c r="M45" s="600"/>
      <c r="N45" s="600"/>
      <c r="O45" s="600"/>
      <c r="P45" s="600"/>
    </row>
    <row r="46" spans="1:28">
      <c r="A46" s="604"/>
      <c r="B46" s="605" t="s">
        <v>272</v>
      </c>
      <c r="C46" s="605" t="s">
        <v>273</v>
      </c>
      <c r="D46" s="605"/>
      <c r="E46" s="605"/>
      <c r="F46" s="605"/>
      <c r="G46" s="605"/>
      <c r="H46" s="605"/>
      <c r="I46" s="606"/>
      <c r="J46" s="605"/>
      <c r="K46" s="605"/>
      <c r="L46" s="605"/>
      <c r="M46" s="605"/>
      <c r="N46" s="605"/>
      <c r="O46" s="605"/>
      <c r="P46" s="600"/>
    </row>
    <row r="47" spans="1:28">
      <c r="A47" s="602" t="s">
        <v>269</v>
      </c>
      <c r="B47" s="607">
        <f>IF(ISERROR(O31/(O31+N31)),0,O31/(O31+N31))</f>
        <v>0.58823529411764708</v>
      </c>
      <c r="C47" s="608">
        <f>IF(ISERROR(N31/(O31+N31)),0,N31/(N31+O31))</f>
        <v>0.41176470588235292</v>
      </c>
      <c r="D47" s="575"/>
      <c r="E47" s="575"/>
      <c r="F47" s="575"/>
      <c r="G47" s="575"/>
      <c r="H47" s="575"/>
      <c r="I47" s="609"/>
      <c r="J47" s="575"/>
      <c r="K47" s="575"/>
      <c r="L47" s="610"/>
      <c r="M47" s="610"/>
      <c r="N47" s="610"/>
      <c r="O47" s="610"/>
      <c r="P47" s="600"/>
    </row>
    <row r="48" spans="1:28">
      <c r="A48" s="602"/>
      <c r="B48" s="611"/>
      <c r="C48" s="611"/>
      <c r="D48" s="611"/>
      <c r="E48" s="611"/>
      <c r="F48" s="611"/>
      <c r="G48" s="611"/>
      <c r="H48" s="611"/>
      <c r="I48" s="612"/>
      <c r="J48" s="611"/>
      <c r="K48" s="611"/>
      <c r="L48" s="613"/>
      <c r="M48" s="613"/>
      <c r="N48" s="613"/>
      <c r="O48" s="613"/>
      <c r="P48" s="600"/>
    </row>
    <row r="49" spans="1:16" ht="30">
      <c r="A49" s="614"/>
      <c r="B49" s="615" t="s">
        <v>528</v>
      </c>
      <c r="C49" s="615" t="s">
        <v>96</v>
      </c>
      <c r="D49" s="615" t="s">
        <v>97</v>
      </c>
      <c r="E49" s="615" t="s">
        <v>98</v>
      </c>
      <c r="F49" s="615" t="s">
        <v>99</v>
      </c>
      <c r="G49" s="615" t="s">
        <v>100</v>
      </c>
      <c r="H49" s="615" t="s">
        <v>101</v>
      </c>
      <c r="I49" s="616" t="s">
        <v>102</v>
      </c>
      <c r="J49" s="605"/>
      <c r="K49" s="605"/>
      <c r="L49" s="613"/>
      <c r="M49" s="613"/>
      <c r="N49" s="613"/>
      <c r="O49" s="600"/>
      <c r="P49" s="600"/>
    </row>
    <row r="50" spans="1:16">
      <c r="A50" s="604" t="s">
        <v>274</v>
      </c>
      <c r="B50" s="617">
        <f t="shared" ref="B50:I50" si="2">$C$47*P31</f>
        <v>28298.823529411766</v>
      </c>
      <c r="C50" s="617">
        <f t="shared" si="2"/>
        <v>0</v>
      </c>
      <c r="D50" s="617">
        <f t="shared" si="2"/>
        <v>0</v>
      </c>
      <c r="E50" s="617">
        <f t="shared" si="2"/>
        <v>0</v>
      </c>
      <c r="F50" s="617">
        <f t="shared" si="2"/>
        <v>0</v>
      </c>
      <c r="G50" s="617">
        <f t="shared" si="2"/>
        <v>0</v>
      </c>
      <c r="H50" s="617">
        <f t="shared" si="2"/>
        <v>0</v>
      </c>
      <c r="I50" s="618">
        <f t="shared" si="2"/>
        <v>0</v>
      </c>
      <c r="J50" s="575"/>
      <c r="K50" s="575"/>
      <c r="L50" s="613"/>
      <c r="M50" s="613"/>
      <c r="N50" s="613"/>
      <c r="O50" s="600"/>
      <c r="P50" s="600"/>
    </row>
    <row r="51" spans="1:16" ht="15.75" thickBot="1">
      <c r="A51" s="619" t="s">
        <v>275</v>
      </c>
      <c r="B51" s="620">
        <f t="shared" ref="B51:I51" si="3">$B$47*P31</f>
        <v>40426.890756302528</v>
      </c>
      <c r="C51" s="620">
        <f t="shared" si="3"/>
        <v>0</v>
      </c>
      <c r="D51" s="620">
        <f t="shared" si="3"/>
        <v>0</v>
      </c>
      <c r="E51" s="620">
        <f t="shared" si="3"/>
        <v>0</v>
      </c>
      <c r="F51" s="620">
        <f t="shared" si="3"/>
        <v>0</v>
      </c>
      <c r="G51" s="620">
        <f t="shared" si="3"/>
        <v>0</v>
      </c>
      <c r="H51" s="620">
        <f t="shared" si="3"/>
        <v>0</v>
      </c>
      <c r="I51" s="621">
        <f t="shared" si="3"/>
        <v>0</v>
      </c>
      <c r="J51" s="575"/>
      <c r="K51" s="575"/>
      <c r="L51" s="613"/>
      <c r="M51" s="613"/>
      <c r="N51" s="613"/>
      <c r="O51" s="600"/>
      <c r="P51" s="600"/>
    </row>
    <row r="52" spans="1:16">
      <c r="J52" s="559"/>
      <c r="K52" s="559"/>
      <c r="L52" s="559"/>
      <c r="M52" s="559"/>
      <c r="N52" s="559"/>
    </row>
    <row r="53" spans="1:16">
      <c r="J53" s="559"/>
      <c r="K53" s="559"/>
      <c r="L53" s="559"/>
      <c r="M53" s="559"/>
      <c r="N53"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32285.756062566081</v>
      </c>
      <c r="D10" s="635">
        <f ca="1">tertiair!C16</f>
        <v>0</v>
      </c>
      <c r="E10" s="635">
        <f ca="1">tertiair!D16</f>
        <v>34534.062864319152</v>
      </c>
      <c r="F10" s="635">
        <f>tertiair!E16</f>
        <v>459.06260388828969</v>
      </c>
      <c r="G10" s="635">
        <f ca="1">tertiair!F16</f>
        <v>5582.9743253473243</v>
      </c>
      <c r="H10" s="635">
        <f>tertiair!G16</f>
        <v>0</v>
      </c>
      <c r="I10" s="635">
        <f>tertiair!H16</f>
        <v>0</v>
      </c>
      <c r="J10" s="635">
        <f>tertiair!I16</f>
        <v>0</v>
      </c>
      <c r="K10" s="635">
        <f>tertiair!J16</f>
        <v>0</v>
      </c>
      <c r="L10" s="635">
        <f>tertiair!K16</f>
        <v>0</v>
      </c>
      <c r="M10" s="635">
        <f ca="1">tertiair!L16</f>
        <v>0</v>
      </c>
      <c r="N10" s="635">
        <f>tertiair!M16</f>
        <v>0</v>
      </c>
      <c r="O10" s="635">
        <f ca="1">tertiair!N16</f>
        <v>904.49809336904661</v>
      </c>
      <c r="P10" s="635">
        <f>tertiair!O16</f>
        <v>0</v>
      </c>
      <c r="Q10" s="636">
        <f>tertiair!P16</f>
        <v>19.066666666666666</v>
      </c>
      <c r="R10" s="638">
        <f ca="1">SUM(C10:Q10)</f>
        <v>73785.420616156567</v>
      </c>
      <c r="S10" s="67"/>
    </row>
    <row r="11" spans="1:19" s="441" customFormat="1">
      <c r="A11" s="749" t="s">
        <v>214</v>
      </c>
      <c r="B11" s="754"/>
      <c r="C11" s="635">
        <f>huishoudens!B8</f>
        <v>23265.561329908385</v>
      </c>
      <c r="D11" s="635">
        <f>huishoudens!C8</f>
        <v>0</v>
      </c>
      <c r="E11" s="635">
        <f>huishoudens!D8</f>
        <v>62657.106257987281</v>
      </c>
      <c r="F11" s="635">
        <f>huishoudens!E8</f>
        <v>579.58186948949651</v>
      </c>
      <c r="G11" s="635">
        <f>huishoudens!F8</f>
        <v>19783.676839784919</v>
      </c>
      <c r="H11" s="635">
        <f>huishoudens!G8</f>
        <v>0</v>
      </c>
      <c r="I11" s="635">
        <f>huishoudens!H8</f>
        <v>0</v>
      </c>
      <c r="J11" s="635">
        <f>huishoudens!I8</f>
        <v>0</v>
      </c>
      <c r="K11" s="635">
        <f>huishoudens!J8</f>
        <v>445.47824512963223</v>
      </c>
      <c r="L11" s="635">
        <f>huishoudens!K8</f>
        <v>0</v>
      </c>
      <c r="M11" s="635">
        <f>huishoudens!L8</f>
        <v>0</v>
      </c>
      <c r="N11" s="635">
        <f>huishoudens!M8</f>
        <v>0</v>
      </c>
      <c r="O11" s="635">
        <f>huishoudens!N8</f>
        <v>5682.6527839387672</v>
      </c>
      <c r="P11" s="635">
        <f>huishoudens!O8</f>
        <v>89.11</v>
      </c>
      <c r="Q11" s="636">
        <f>huishoudens!P8</f>
        <v>114.4</v>
      </c>
      <c r="R11" s="638">
        <f>SUM(C11:Q11)</f>
        <v>112617.5673262385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49032.15588479313</v>
      </c>
      <c r="D13" s="635">
        <f>industrie!C18</f>
        <v>26987.142857142859</v>
      </c>
      <c r="E13" s="635">
        <f>industrie!D18</f>
        <v>5414.5484625318641</v>
      </c>
      <c r="F13" s="635">
        <f>industrie!E18</f>
        <v>354.58473042869355</v>
      </c>
      <c r="G13" s="635">
        <f>industrie!F18</f>
        <v>5958.5751545561707</v>
      </c>
      <c r="H13" s="635">
        <f>industrie!G18</f>
        <v>0</v>
      </c>
      <c r="I13" s="635">
        <f>industrie!H18</f>
        <v>0</v>
      </c>
      <c r="J13" s="635">
        <f>industrie!I18</f>
        <v>0</v>
      </c>
      <c r="K13" s="635">
        <f>industrie!J18</f>
        <v>135.5559718381536</v>
      </c>
      <c r="L13" s="635">
        <f>industrie!K18</f>
        <v>0</v>
      </c>
      <c r="M13" s="635">
        <f>industrie!L18</f>
        <v>0</v>
      </c>
      <c r="N13" s="635">
        <f>industrie!M18</f>
        <v>0</v>
      </c>
      <c r="O13" s="635">
        <f>industrie!N18</f>
        <v>472.93637064952929</v>
      </c>
      <c r="P13" s="635">
        <f>industrie!O18</f>
        <v>0</v>
      </c>
      <c r="Q13" s="636">
        <f>industrie!P18</f>
        <v>0</v>
      </c>
      <c r="R13" s="638">
        <f>SUM(C13:Q13)</f>
        <v>88355.499431940392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104583.47327726759</v>
      </c>
      <c r="D16" s="668">
        <f t="shared" ref="D16:R16" ca="1" si="0">SUM(D9:D15)</f>
        <v>26987.142857142859</v>
      </c>
      <c r="E16" s="668">
        <f t="shared" ca="1" si="0"/>
        <v>102605.71758483829</v>
      </c>
      <c r="F16" s="668">
        <f t="shared" si="0"/>
        <v>1393.2292038064797</v>
      </c>
      <c r="G16" s="668">
        <f t="shared" ca="1" si="0"/>
        <v>31325.226319688416</v>
      </c>
      <c r="H16" s="668">
        <f t="shared" si="0"/>
        <v>0</v>
      </c>
      <c r="I16" s="668">
        <f t="shared" si="0"/>
        <v>0</v>
      </c>
      <c r="J16" s="668">
        <f t="shared" si="0"/>
        <v>0</v>
      </c>
      <c r="K16" s="668">
        <f t="shared" si="0"/>
        <v>581.03421696778582</v>
      </c>
      <c r="L16" s="668">
        <f t="shared" si="0"/>
        <v>0</v>
      </c>
      <c r="M16" s="668">
        <f t="shared" ca="1" si="0"/>
        <v>0</v>
      </c>
      <c r="N16" s="668">
        <f t="shared" si="0"/>
        <v>0</v>
      </c>
      <c r="O16" s="668">
        <f t="shared" ca="1" si="0"/>
        <v>7060.0872479573436</v>
      </c>
      <c r="P16" s="668">
        <f t="shared" si="0"/>
        <v>89.11</v>
      </c>
      <c r="Q16" s="668">
        <f t="shared" si="0"/>
        <v>133.46666666666667</v>
      </c>
      <c r="R16" s="668">
        <f t="shared" ca="1" si="0"/>
        <v>274758.48737433547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11.683053857826453</v>
      </c>
      <c r="D19" s="635">
        <f>transport!C54</f>
        <v>0</v>
      </c>
      <c r="E19" s="635">
        <f>transport!D54</f>
        <v>0</v>
      </c>
      <c r="F19" s="635">
        <f>transport!E54</f>
        <v>0</v>
      </c>
      <c r="G19" s="635">
        <f>transport!F54</f>
        <v>0</v>
      </c>
      <c r="H19" s="635">
        <f>transport!G54</f>
        <v>2534.5212382495715</v>
      </c>
      <c r="I19" s="635">
        <f>transport!H54</f>
        <v>0</v>
      </c>
      <c r="J19" s="635">
        <f>transport!I54</f>
        <v>0</v>
      </c>
      <c r="K19" s="635">
        <f>transport!J54</f>
        <v>0</v>
      </c>
      <c r="L19" s="635">
        <f>transport!K54</f>
        <v>0</v>
      </c>
      <c r="M19" s="635">
        <f>transport!L54</f>
        <v>0</v>
      </c>
      <c r="N19" s="635">
        <f>transport!M54</f>
        <v>108.51846369460443</v>
      </c>
      <c r="O19" s="635">
        <f>transport!N54</f>
        <v>0</v>
      </c>
      <c r="P19" s="635">
        <f>transport!O54</f>
        <v>0</v>
      </c>
      <c r="Q19" s="636">
        <f>transport!P54</f>
        <v>0</v>
      </c>
      <c r="R19" s="638">
        <f>SUM(C19:Q19)</f>
        <v>2654.7227558020027</v>
      </c>
      <c r="S19" s="67"/>
    </row>
    <row r="20" spans="1:19" s="441" customFormat="1">
      <c r="A20" s="749" t="s">
        <v>296</v>
      </c>
      <c r="B20" s="754"/>
      <c r="C20" s="635">
        <f>transport!B14</f>
        <v>2.5192360860130938</v>
      </c>
      <c r="D20" s="635">
        <f>transport!C14</f>
        <v>0</v>
      </c>
      <c r="E20" s="635">
        <f>transport!D14</f>
        <v>7.4390071859430522</v>
      </c>
      <c r="F20" s="635">
        <f>transport!E14</f>
        <v>903.67201141053897</v>
      </c>
      <c r="G20" s="635">
        <f>transport!F14</f>
        <v>0</v>
      </c>
      <c r="H20" s="635">
        <f>transport!G14</f>
        <v>216985.05795777281</v>
      </c>
      <c r="I20" s="635">
        <f>transport!H14</f>
        <v>27040.746156661309</v>
      </c>
      <c r="J20" s="635">
        <f>transport!I14</f>
        <v>0</v>
      </c>
      <c r="K20" s="635">
        <f>transport!J14</f>
        <v>0</v>
      </c>
      <c r="L20" s="635">
        <f>transport!K14</f>
        <v>0</v>
      </c>
      <c r="M20" s="635">
        <f>transport!L14</f>
        <v>0</v>
      </c>
      <c r="N20" s="635">
        <f>transport!M14</f>
        <v>10592.089306466223</v>
      </c>
      <c r="O20" s="635">
        <f>transport!N14</f>
        <v>0</v>
      </c>
      <c r="P20" s="635">
        <f>transport!O14</f>
        <v>0</v>
      </c>
      <c r="Q20" s="636">
        <f>transport!P14</f>
        <v>0</v>
      </c>
      <c r="R20" s="638">
        <f>SUM(C20:Q20)</f>
        <v>255531.52367558284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14.202289943839546</v>
      </c>
      <c r="D22" s="752">
        <f t="shared" ref="D22:R22" si="1">SUM(D18:D21)</f>
        <v>0</v>
      </c>
      <c r="E22" s="752">
        <f t="shared" si="1"/>
        <v>7.4390071859430522</v>
      </c>
      <c r="F22" s="752">
        <f t="shared" si="1"/>
        <v>903.67201141053897</v>
      </c>
      <c r="G22" s="752">
        <f t="shared" si="1"/>
        <v>0</v>
      </c>
      <c r="H22" s="752">
        <f t="shared" si="1"/>
        <v>219519.57919602239</v>
      </c>
      <c r="I22" s="752">
        <f t="shared" si="1"/>
        <v>27040.746156661309</v>
      </c>
      <c r="J22" s="752">
        <f t="shared" si="1"/>
        <v>0</v>
      </c>
      <c r="K22" s="752">
        <f t="shared" si="1"/>
        <v>0</v>
      </c>
      <c r="L22" s="752">
        <f t="shared" si="1"/>
        <v>0</v>
      </c>
      <c r="M22" s="752">
        <f t="shared" si="1"/>
        <v>0</v>
      </c>
      <c r="N22" s="752">
        <f t="shared" si="1"/>
        <v>10700.607770160828</v>
      </c>
      <c r="O22" s="752">
        <f t="shared" si="1"/>
        <v>0</v>
      </c>
      <c r="P22" s="752">
        <f t="shared" si="1"/>
        <v>0</v>
      </c>
      <c r="Q22" s="752">
        <f t="shared" si="1"/>
        <v>0</v>
      </c>
      <c r="R22" s="752">
        <f t="shared" si="1"/>
        <v>258186.24643138485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477.19620793991402</v>
      </c>
      <c r="D24" s="635">
        <f>+landbouw!C8</f>
        <v>7375.7142857142862</v>
      </c>
      <c r="E24" s="635">
        <f>+landbouw!D8</f>
        <v>0</v>
      </c>
      <c r="F24" s="635">
        <f>+landbouw!E8</f>
        <v>4.3001433421581927</v>
      </c>
      <c r="G24" s="635">
        <f>+landbouw!F8</f>
        <v>1788.0687451532626</v>
      </c>
      <c r="H24" s="635">
        <f>+landbouw!G8</f>
        <v>0</v>
      </c>
      <c r="I24" s="635">
        <f>+landbouw!H8</f>
        <v>0</v>
      </c>
      <c r="J24" s="635">
        <f>+landbouw!I8</f>
        <v>0</v>
      </c>
      <c r="K24" s="635">
        <f>+landbouw!J8</f>
        <v>48.290282615113419</v>
      </c>
      <c r="L24" s="635">
        <f>+landbouw!K8</f>
        <v>0</v>
      </c>
      <c r="M24" s="635">
        <f>+landbouw!L8</f>
        <v>0</v>
      </c>
      <c r="N24" s="635">
        <f>+landbouw!M8</f>
        <v>0</v>
      </c>
      <c r="O24" s="635">
        <f>+landbouw!N8</f>
        <v>0</v>
      </c>
      <c r="P24" s="635">
        <f>+landbouw!O8</f>
        <v>0</v>
      </c>
      <c r="Q24" s="636">
        <f>+landbouw!P8</f>
        <v>0</v>
      </c>
      <c r="R24" s="638">
        <f>SUM(C24:Q24)</f>
        <v>9693.5696647647328</v>
      </c>
      <c r="S24" s="67"/>
    </row>
    <row r="25" spans="1:19" s="441" customFormat="1" ht="15" thickBot="1">
      <c r="A25" s="771" t="s">
        <v>864</v>
      </c>
      <c r="B25" s="923"/>
      <c r="C25" s="924">
        <f>IF(Onbekend_ele_kWh="---",0,Onbekend_ele_kWh)/1000+IF(REST_rest_ele_kWh="---",0,REST_rest_ele_kWh)/1000</f>
        <v>962.60533298717905</v>
      </c>
      <c r="D25" s="924"/>
      <c r="E25" s="924">
        <f>IF(onbekend_gas_kWh="---",0,onbekend_gas_kWh)/1000+IF(REST_rest_gas_kWh="---",0,REST_rest_gas_kWh)/1000</f>
        <v>2452.91946591944</v>
      </c>
      <c r="F25" s="924"/>
      <c r="G25" s="924"/>
      <c r="H25" s="924"/>
      <c r="I25" s="924"/>
      <c r="J25" s="924"/>
      <c r="K25" s="924"/>
      <c r="L25" s="924"/>
      <c r="M25" s="924"/>
      <c r="N25" s="924"/>
      <c r="O25" s="924"/>
      <c r="P25" s="924"/>
      <c r="Q25" s="925"/>
      <c r="R25" s="638">
        <f>SUM(C25:Q25)</f>
        <v>3415.5247989066193</v>
      </c>
      <c r="S25" s="67"/>
    </row>
    <row r="26" spans="1:19" s="441" customFormat="1" ht="15.75" thickBot="1">
      <c r="A26" s="641" t="s">
        <v>865</v>
      </c>
      <c r="B26" s="757"/>
      <c r="C26" s="752">
        <f>SUM(C24:C25)</f>
        <v>1439.8015409270931</v>
      </c>
      <c r="D26" s="752">
        <f t="shared" ref="D26:R26" si="2">SUM(D24:D25)</f>
        <v>7375.7142857142862</v>
      </c>
      <c r="E26" s="752">
        <f t="shared" si="2"/>
        <v>2452.91946591944</v>
      </c>
      <c r="F26" s="752">
        <f t="shared" si="2"/>
        <v>4.3001433421581927</v>
      </c>
      <c r="G26" s="752">
        <f t="shared" si="2"/>
        <v>1788.0687451532626</v>
      </c>
      <c r="H26" s="752">
        <f t="shared" si="2"/>
        <v>0</v>
      </c>
      <c r="I26" s="752">
        <f t="shared" si="2"/>
        <v>0</v>
      </c>
      <c r="J26" s="752">
        <f t="shared" si="2"/>
        <v>0</v>
      </c>
      <c r="K26" s="752">
        <f t="shared" si="2"/>
        <v>48.290282615113419</v>
      </c>
      <c r="L26" s="752">
        <f t="shared" si="2"/>
        <v>0</v>
      </c>
      <c r="M26" s="752">
        <f t="shared" si="2"/>
        <v>0</v>
      </c>
      <c r="N26" s="752">
        <f t="shared" si="2"/>
        <v>0</v>
      </c>
      <c r="O26" s="752">
        <f t="shared" si="2"/>
        <v>0</v>
      </c>
      <c r="P26" s="752">
        <f t="shared" si="2"/>
        <v>0</v>
      </c>
      <c r="Q26" s="752">
        <f t="shared" si="2"/>
        <v>0</v>
      </c>
      <c r="R26" s="752">
        <f t="shared" si="2"/>
        <v>13109.094463671352</v>
      </c>
      <c r="S26" s="67"/>
    </row>
    <row r="27" spans="1:19" s="441" customFormat="1" ht="17.25" thickTop="1" thickBot="1">
      <c r="A27" s="642" t="s">
        <v>109</v>
      </c>
      <c r="B27" s="744"/>
      <c r="C27" s="643">
        <f ca="1">C22+C16+C26</f>
        <v>106037.47710813853</v>
      </c>
      <c r="D27" s="643">
        <f t="shared" ref="D27:R27" ca="1" si="3">D22+D16+D26</f>
        <v>34362.857142857145</v>
      </c>
      <c r="E27" s="643">
        <f t="shared" ca="1" si="3"/>
        <v>105066.07605794366</v>
      </c>
      <c r="F27" s="643">
        <f t="shared" si="3"/>
        <v>2301.2013585591772</v>
      </c>
      <c r="G27" s="643">
        <f t="shared" ca="1" si="3"/>
        <v>33113.295064841681</v>
      </c>
      <c r="H27" s="643">
        <f t="shared" si="3"/>
        <v>219519.57919602239</v>
      </c>
      <c r="I27" s="643">
        <f t="shared" si="3"/>
        <v>27040.746156661309</v>
      </c>
      <c r="J27" s="643">
        <f t="shared" si="3"/>
        <v>0</v>
      </c>
      <c r="K27" s="643">
        <f t="shared" si="3"/>
        <v>629.32449958289919</v>
      </c>
      <c r="L27" s="643">
        <f t="shared" si="3"/>
        <v>0</v>
      </c>
      <c r="M27" s="643">
        <f t="shared" ca="1" si="3"/>
        <v>0</v>
      </c>
      <c r="N27" s="643">
        <f t="shared" si="3"/>
        <v>10700.607770160828</v>
      </c>
      <c r="O27" s="643">
        <f t="shared" ca="1" si="3"/>
        <v>7060.0872479573436</v>
      </c>
      <c r="P27" s="643">
        <f t="shared" si="3"/>
        <v>89.11</v>
      </c>
      <c r="Q27" s="643">
        <f t="shared" si="3"/>
        <v>133.46666666666667</v>
      </c>
      <c r="R27" s="643">
        <f t="shared" ca="1" si="3"/>
        <v>546053.82826939167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7101.5547693877515</v>
      </c>
      <c r="D40" s="635">
        <f ca="1">tertiair!C20</f>
        <v>0</v>
      </c>
      <c r="E40" s="635">
        <f ca="1">tertiair!D20</f>
        <v>6975.8806985924693</v>
      </c>
      <c r="F40" s="635">
        <f>tertiair!E20</f>
        <v>104.20721108264176</v>
      </c>
      <c r="G40" s="635">
        <f ca="1">tertiair!F20</f>
        <v>1490.6541448677358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15672.296823930597</v>
      </c>
    </row>
    <row r="41" spans="1:18">
      <c r="A41" s="762" t="s">
        <v>214</v>
      </c>
      <c r="B41" s="769"/>
      <c r="C41" s="635">
        <f ca="1">huishoudens!B12</f>
        <v>5117.4783611916528</v>
      </c>
      <c r="D41" s="635">
        <f ca="1">huishoudens!C12</f>
        <v>0</v>
      </c>
      <c r="E41" s="635">
        <f>huishoudens!D12</f>
        <v>12656.735464113432</v>
      </c>
      <c r="F41" s="635">
        <f>huishoudens!E12</f>
        <v>131.56508437411571</v>
      </c>
      <c r="G41" s="635">
        <f>huishoudens!F12</f>
        <v>5282.2417162225738</v>
      </c>
      <c r="H41" s="635">
        <f>huishoudens!G12</f>
        <v>0</v>
      </c>
      <c r="I41" s="635">
        <f>huishoudens!H12</f>
        <v>0</v>
      </c>
      <c r="J41" s="635">
        <f>huishoudens!I12</f>
        <v>0</v>
      </c>
      <c r="K41" s="635">
        <f>huishoudens!J12</f>
        <v>157.69929877588979</v>
      </c>
      <c r="L41" s="635">
        <f>huishoudens!K12</f>
        <v>0</v>
      </c>
      <c r="M41" s="635">
        <f>huishoudens!L12</f>
        <v>0</v>
      </c>
      <c r="N41" s="635">
        <f>huishoudens!M12</f>
        <v>0</v>
      </c>
      <c r="O41" s="635">
        <f>huishoudens!N12</f>
        <v>0</v>
      </c>
      <c r="P41" s="635">
        <f>huishoudens!O12</f>
        <v>0</v>
      </c>
      <c r="Q41" s="710">
        <f>huishoudens!P12</f>
        <v>0</v>
      </c>
      <c r="R41" s="790">
        <f t="shared" ca="1" si="4"/>
        <v>23345.719924677662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10785.082430847709</v>
      </c>
      <c r="D43" s="635">
        <f ca="1">industrie!C22</f>
        <v>6413.4151260504223</v>
      </c>
      <c r="E43" s="635">
        <f>industrie!D22</f>
        <v>1093.7387894314365</v>
      </c>
      <c r="F43" s="635">
        <f>industrie!E22</f>
        <v>80.490733807313433</v>
      </c>
      <c r="G43" s="635">
        <f>industrie!F22</f>
        <v>1590.9395662664976</v>
      </c>
      <c r="H43" s="635">
        <f>industrie!G22</f>
        <v>0</v>
      </c>
      <c r="I43" s="635">
        <f>industrie!H22</f>
        <v>0</v>
      </c>
      <c r="J43" s="635">
        <f>industrie!I22</f>
        <v>0</v>
      </c>
      <c r="K43" s="635">
        <f>industrie!J22</f>
        <v>47.98681403070637</v>
      </c>
      <c r="L43" s="635">
        <f>industrie!K22</f>
        <v>0</v>
      </c>
      <c r="M43" s="635">
        <f>industrie!L22</f>
        <v>0</v>
      </c>
      <c r="N43" s="635">
        <f>industrie!M22</f>
        <v>0</v>
      </c>
      <c r="O43" s="635">
        <f>industrie!N22</f>
        <v>0</v>
      </c>
      <c r="P43" s="635">
        <f>industrie!O22</f>
        <v>0</v>
      </c>
      <c r="Q43" s="710">
        <f>industrie!P22</f>
        <v>0</v>
      </c>
      <c r="R43" s="789">
        <f t="shared" ca="1" si="4"/>
        <v>20011.653460434089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23004.115561427112</v>
      </c>
      <c r="D46" s="668">
        <f t="shared" ref="D46:Q46" ca="1" si="5">SUM(D39:D45)</f>
        <v>6413.4151260504223</v>
      </c>
      <c r="E46" s="668">
        <f t="shared" ca="1" si="5"/>
        <v>20726.354952137339</v>
      </c>
      <c r="F46" s="668">
        <f t="shared" si="5"/>
        <v>316.26302926407095</v>
      </c>
      <c r="G46" s="668">
        <f t="shared" ca="1" si="5"/>
        <v>8363.8354273568075</v>
      </c>
      <c r="H46" s="668">
        <f t="shared" si="5"/>
        <v>0</v>
      </c>
      <c r="I46" s="668">
        <f t="shared" si="5"/>
        <v>0</v>
      </c>
      <c r="J46" s="668">
        <f t="shared" si="5"/>
        <v>0</v>
      </c>
      <c r="K46" s="668">
        <f t="shared" si="5"/>
        <v>205.68611280659616</v>
      </c>
      <c r="L46" s="668">
        <f t="shared" si="5"/>
        <v>0</v>
      </c>
      <c r="M46" s="668">
        <f t="shared" ca="1" si="5"/>
        <v>0</v>
      </c>
      <c r="N46" s="668">
        <f t="shared" si="5"/>
        <v>0</v>
      </c>
      <c r="O46" s="668">
        <f t="shared" ca="1" si="5"/>
        <v>0</v>
      </c>
      <c r="P46" s="668">
        <f t="shared" si="5"/>
        <v>0</v>
      </c>
      <c r="Q46" s="668">
        <f t="shared" si="5"/>
        <v>0</v>
      </c>
      <c r="R46" s="668">
        <f ca="1">SUM(R39:R45)</f>
        <v>59029.67020904235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2.5697972407484984</v>
      </c>
      <c r="D49" s="635">
        <f ca="1">transport!C58</f>
        <v>0</v>
      </c>
      <c r="E49" s="635">
        <f>transport!D58</f>
        <v>0</v>
      </c>
      <c r="F49" s="635">
        <f>transport!E58</f>
        <v>0</v>
      </c>
      <c r="G49" s="635">
        <f>transport!F58</f>
        <v>0</v>
      </c>
      <c r="H49" s="635">
        <f>transport!G58</f>
        <v>676.71717061263564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679.28696785338411</v>
      </c>
    </row>
    <row r="50" spans="1:18">
      <c r="A50" s="765" t="s">
        <v>296</v>
      </c>
      <c r="B50" s="775"/>
      <c r="C50" s="930">
        <f ca="1">transport!B18</f>
        <v>0.55412959842632459</v>
      </c>
      <c r="D50" s="930">
        <f>transport!C18</f>
        <v>0</v>
      </c>
      <c r="E50" s="930">
        <f>transport!D18</f>
        <v>1.5026794515604966</v>
      </c>
      <c r="F50" s="930">
        <f>transport!E18</f>
        <v>205.13354659019237</v>
      </c>
      <c r="G50" s="930">
        <f>transport!F18</f>
        <v>0</v>
      </c>
      <c r="H50" s="930">
        <f>transport!G18</f>
        <v>57935.010474725343</v>
      </c>
      <c r="I50" s="930">
        <f>transport!H18</f>
        <v>6733.1457930086663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64875.346623374193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3.1239268391748229</v>
      </c>
      <c r="D52" s="668">
        <f t="shared" ref="D52:Q52" ca="1" si="6">SUM(D48:D51)</f>
        <v>0</v>
      </c>
      <c r="E52" s="668">
        <f t="shared" si="6"/>
        <v>1.5026794515604966</v>
      </c>
      <c r="F52" s="668">
        <f t="shared" si="6"/>
        <v>205.13354659019237</v>
      </c>
      <c r="G52" s="668">
        <f t="shared" si="6"/>
        <v>0</v>
      </c>
      <c r="H52" s="668">
        <f t="shared" si="6"/>
        <v>58611.727645337982</v>
      </c>
      <c r="I52" s="668">
        <f t="shared" si="6"/>
        <v>6733.1457930086663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65554.633591227583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104.96378030801797</v>
      </c>
      <c r="D54" s="930">
        <f ca="1">+landbouw!C12</f>
        <v>1752.8168067226895</v>
      </c>
      <c r="E54" s="930">
        <f>+landbouw!D12</f>
        <v>0</v>
      </c>
      <c r="F54" s="930">
        <f>+landbouw!E12</f>
        <v>0.97613253866990979</v>
      </c>
      <c r="G54" s="930">
        <f>+landbouw!F12</f>
        <v>477.41435495592117</v>
      </c>
      <c r="H54" s="930">
        <f>+landbouw!G12</f>
        <v>0</v>
      </c>
      <c r="I54" s="930">
        <f>+landbouw!H12</f>
        <v>0</v>
      </c>
      <c r="J54" s="930">
        <f>+landbouw!I12</f>
        <v>0</v>
      </c>
      <c r="K54" s="930">
        <f>+landbouw!J12</f>
        <v>17.094760045750149</v>
      </c>
      <c r="L54" s="930">
        <f>+landbouw!K12</f>
        <v>0</v>
      </c>
      <c r="M54" s="930">
        <f>+landbouw!L12</f>
        <v>0</v>
      </c>
      <c r="N54" s="930">
        <f>+landbouw!M12</f>
        <v>0</v>
      </c>
      <c r="O54" s="930">
        <f>+landbouw!N12</f>
        <v>0</v>
      </c>
      <c r="P54" s="930">
        <f>+landbouw!O12</f>
        <v>0</v>
      </c>
      <c r="Q54" s="931">
        <f>+landbouw!P12</f>
        <v>0</v>
      </c>
      <c r="R54" s="667">
        <f ca="1">SUM(C54:Q54)</f>
        <v>2353.2658345710488</v>
      </c>
    </row>
    <row r="55" spans="1:18" ht="15" thickBot="1">
      <c r="A55" s="765" t="s">
        <v>864</v>
      </c>
      <c r="B55" s="775"/>
      <c r="C55" s="930">
        <f ca="1">C25*'EF ele_warmte'!B12</f>
        <v>211.73406874120633</v>
      </c>
      <c r="D55" s="930"/>
      <c r="E55" s="930">
        <f>E25*EF_CO2_aardgas</f>
        <v>495.48973211572689</v>
      </c>
      <c r="F55" s="930"/>
      <c r="G55" s="930"/>
      <c r="H55" s="930"/>
      <c r="I55" s="930"/>
      <c r="J55" s="930"/>
      <c r="K55" s="930"/>
      <c r="L55" s="930"/>
      <c r="M55" s="930"/>
      <c r="N55" s="930"/>
      <c r="O55" s="930"/>
      <c r="P55" s="930"/>
      <c r="Q55" s="931"/>
      <c r="R55" s="667">
        <f ca="1">SUM(C55:Q55)</f>
        <v>707.22380085693317</v>
      </c>
    </row>
    <row r="56" spans="1:18" ht="15.75" thickBot="1">
      <c r="A56" s="763" t="s">
        <v>865</v>
      </c>
      <c r="B56" s="776"/>
      <c r="C56" s="668">
        <f ca="1">SUM(C54:C55)</f>
        <v>316.69784904922432</v>
      </c>
      <c r="D56" s="668">
        <f t="shared" ref="D56:Q56" ca="1" si="7">SUM(D54:D55)</f>
        <v>1752.8168067226895</v>
      </c>
      <c r="E56" s="668">
        <f t="shared" si="7"/>
        <v>495.48973211572689</v>
      </c>
      <c r="F56" s="668">
        <f t="shared" si="7"/>
        <v>0.97613253866990979</v>
      </c>
      <c r="G56" s="668">
        <f t="shared" si="7"/>
        <v>477.41435495592117</v>
      </c>
      <c r="H56" s="668">
        <f t="shared" si="7"/>
        <v>0</v>
      </c>
      <c r="I56" s="668">
        <f t="shared" si="7"/>
        <v>0</v>
      </c>
      <c r="J56" s="668">
        <f t="shared" si="7"/>
        <v>0</v>
      </c>
      <c r="K56" s="668">
        <f t="shared" si="7"/>
        <v>17.094760045750149</v>
      </c>
      <c r="L56" s="668">
        <f t="shared" si="7"/>
        <v>0</v>
      </c>
      <c r="M56" s="668">
        <f t="shared" si="7"/>
        <v>0</v>
      </c>
      <c r="N56" s="668">
        <f t="shared" si="7"/>
        <v>0</v>
      </c>
      <c r="O56" s="668">
        <f t="shared" si="7"/>
        <v>0</v>
      </c>
      <c r="P56" s="668">
        <f t="shared" si="7"/>
        <v>0</v>
      </c>
      <c r="Q56" s="669">
        <f t="shared" si="7"/>
        <v>0</v>
      </c>
      <c r="R56" s="670">
        <f ca="1">SUM(R54:R55)</f>
        <v>3060.4896354279817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23323.937337315514</v>
      </c>
      <c r="D61" s="676">
        <f t="shared" ref="D61:Q61" ca="1" si="8">D46+D52+D56</f>
        <v>8166.231932773112</v>
      </c>
      <c r="E61" s="676">
        <f t="shared" ca="1" si="8"/>
        <v>21223.347363704626</v>
      </c>
      <c r="F61" s="676">
        <f t="shared" si="8"/>
        <v>522.3727083929333</v>
      </c>
      <c r="G61" s="676">
        <f t="shared" ca="1" si="8"/>
        <v>8841.2497823127287</v>
      </c>
      <c r="H61" s="676">
        <f t="shared" si="8"/>
        <v>58611.727645337982</v>
      </c>
      <c r="I61" s="676">
        <f t="shared" si="8"/>
        <v>6733.1457930086663</v>
      </c>
      <c r="J61" s="676">
        <f t="shared" si="8"/>
        <v>0</v>
      </c>
      <c r="K61" s="676">
        <f t="shared" si="8"/>
        <v>222.78087285234631</v>
      </c>
      <c r="L61" s="676">
        <f t="shared" si="8"/>
        <v>0</v>
      </c>
      <c r="M61" s="676">
        <f t="shared" ca="1" si="8"/>
        <v>0</v>
      </c>
      <c r="N61" s="676">
        <f t="shared" si="8"/>
        <v>0</v>
      </c>
      <c r="O61" s="676">
        <f t="shared" ca="1" si="8"/>
        <v>0</v>
      </c>
      <c r="P61" s="676">
        <f t="shared" si="8"/>
        <v>0</v>
      </c>
      <c r="Q61" s="676">
        <f t="shared" si="8"/>
        <v>0</v>
      </c>
      <c r="R61" s="676">
        <f ca="1">R46+R52+R56</f>
        <v>127644.79343569791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0.21995937637717872</v>
      </c>
      <c r="D63" s="720">
        <f t="shared" ca="1" si="9"/>
        <v>0.23764705882352949</v>
      </c>
      <c r="E63" s="932">
        <f t="shared" ca="1" si="9"/>
        <v>0.20200000000000007</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2311.1921109696032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24054</v>
      </c>
      <c r="D76" s="942">
        <f>'lokale energieproductie'!C8</f>
        <v>28298.823529411766</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5716.3623529411771</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2311.1921109696032</v>
      </c>
      <c r="C78" s="691">
        <f>SUM(C72:C77)</f>
        <v>24054</v>
      </c>
      <c r="D78" s="692">
        <f t="shared" ref="D78:H78" si="10">SUM(D76:D77)</f>
        <v>28298.823529411766</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5716.3623529411771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34362.857142857145</v>
      </c>
      <c r="D87" s="713">
        <f>'lokale energieproductie'!C17</f>
        <v>40426.890756302528</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8166.2319327731111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34362.857142857145</v>
      </c>
      <c r="D90" s="691">
        <f t="shared" ref="D90:H90" si="12">SUM(D87:D89)</f>
        <v>40426.890756302528</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8166.2319327731111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23265.561329908385</v>
      </c>
      <c r="C4" s="445">
        <f>huishoudens!C8</f>
        <v>0</v>
      </c>
      <c r="D4" s="445">
        <f>huishoudens!D8</f>
        <v>62657.106257987281</v>
      </c>
      <c r="E4" s="445">
        <f>huishoudens!E8</f>
        <v>579.58186948949651</v>
      </c>
      <c r="F4" s="445">
        <f>huishoudens!F8</f>
        <v>19783.676839784919</v>
      </c>
      <c r="G4" s="445">
        <f>huishoudens!G8</f>
        <v>0</v>
      </c>
      <c r="H4" s="445">
        <f>huishoudens!H8</f>
        <v>0</v>
      </c>
      <c r="I4" s="445">
        <f>huishoudens!I8</f>
        <v>0</v>
      </c>
      <c r="J4" s="445">
        <f>huishoudens!J8</f>
        <v>445.47824512963223</v>
      </c>
      <c r="K4" s="445">
        <f>huishoudens!K8</f>
        <v>0</v>
      </c>
      <c r="L4" s="445">
        <f>huishoudens!L8</f>
        <v>0</v>
      </c>
      <c r="M4" s="445">
        <f>huishoudens!M8</f>
        <v>0</v>
      </c>
      <c r="N4" s="445">
        <f>huishoudens!N8</f>
        <v>5682.6527839387672</v>
      </c>
      <c r="O4" s="445">
        <f>huishoudens!O8</f>
        <v>89.11</v>
      </c>
      <c r="P4" s="446">
        <f>huishoudens!P8</f>
        <v>114.4</v>
      </c>
      <c r="Q4" s="447">
        <f>SUM(B4:P4)</f>
        <v>112617.5673262385</v>
      </c>
    </row>
    <row r="5" spans="1:17">
      <c r="A5" s="444" t="s">
        <v>149</v>
      </c>
      <c r="B5" s="445">
        <f ca="1">tertiair!B16</f>
        <v>31395.865062566081</v>
      </c>
      <c r="C5" s="445">
        <f ca="1">tertiair!C16</f>
        <v>0</v>
      </c>
      <c r="D5" s="445">
        <f ca="1">tertiair!D16</f>
        <v>34534.062864319152</v>
      </c>
      <c r="E5" s="445">
        <f>tertiair!E16</f>
        <v>459.06260388828969</v>
      </c>
      <c r="F5" s="445">
        <f ca="1">tertiair!F16</f>
        <v>5582.9743253473243</v>
      </c>
      <c r="G5" s="445">
        <f>tertiair!G16</f>
        <v>0</v>
      </c>
      <c r="H5" s="445">
        <f>tertiair!H16</f>
        <v>0</v>
      </c>
      <c r="I5" s="445">
        <f>tertiair!I16</f>
        <v>0</v>
      </c>
      <c r="J5" s="445">
        <f>tertiair!J16</f>
        <v>0</v>
      </c>
      <c r="K5" s="445">
        <f>tertiair!K16</f>
        <v>0</v>
      </c>
      <c r="L5" s="445">
        <f ca="1">tertiair!L16</f>
        <v>0</v>
      </c>
      <c r="M5" s="445">
        <f>tertiair!M16</f>
        <v>0</v>
      </c>
      <c r="N5" s="445">
        <f ca="1">tertiair!N16</f>
        <v>904.49809336904661</v>
      </c>
      <c r="O5" s="445">
        <f>tertiair!O16</f>
        <v>0</v>
      </c>
      <c r="P5" s="446">
        <f>tertiair!P16</f>
        <v>19.066666666666666</v>
      </c>
      <c r="Q5" s="444">
        <f t="shared" ref="Q5:Q14" ca="1" si="0">SUM(B5:P5)</f>
        <v>72895.529616156564</v>
      </c>
    </row>
    <row r="6" spans="1:17">
      <c r="A6" s="444" t="s">
        <v>187</v>
      </c>
      <c r="B6" s="445">
        <f>'openbare verlichting'!B8</f>
        <v>889.89099999999996</v>
      </c>
      <c r="C6" s="445"/>
      <c r="D6" s="445"/>
      <c r="E6" s="445"/>
      <c r="F6" s="445"/>
      <c r="G6" s="445"/>
      <c r="H6" s="445"/>
      <c r="I6" s="445"/>
      <c r="J6" s="445"/>
      <c r="K6" s="445"/>
      <c r="L6" s="445"/>
      <c r="M6" s="445"/>
      <c r="N6" s="445"/>
      <c r="O6" s="445"/>
      <c r="P6" s="446"/>
      <c r="Q6" s="444">
        <f t="shared" si="0"/>
        <v>889.89099999999996</v>
      </c>
    </row>
    <row r="7" spans="1:17">
      <c r="A7" s="444" t="s">
        <v>105</v>
      </c>
      <c r="B7" s="445">
        <f>landbouw!B8</f>
        <v>477.19620793991402</v>
      </c>
      <c r="C7" s="445">
        <f>landbouw!C8</f>
        <v>7375.7142857142862</v>
      </c>
      <c r="D7" s="445">
        <f>landbouw!D8</f>
        <v>0</v>
      </c>
      <c r="E7" s="445">
        <f>landbouw!E8</f>
        <v>4.3001433421581927</v>
      </c>
      <c r="F7" s="445">
        <f>landbouw!F8</f>
        <v>1788.0687451532626</v>
      </c>
      <c r="G7" s="445">
        <f>landbouw!G8</f>
        <v>0</v>
      </c>
      <c r="H7" s="445">
        <f>landbouw!H8</f>
        <v>0</v>
      </c>
      <c r="I7" s="445">
        <f>landbouw!I8</f>
        <v>0</v>
      </c>
      <c r="J7" s="445">
        <f>landbouw!J8</f>
        <v>48.290282615113419</v>
      </c>
      <c r="K7" s="445">
        <f>landbouw!K8</f>
        <v>0</v>
      </c>
      <c r="L7" s="445">
        <f>landbouw!L8</f>
        <v>0</v>
      </c>
      <c r="M7" s="445">
        <f>landbouw!M8</f>
        <v>0</v>
      </c>
      <c r="N7" s="445">
        <f>landbouw!N8</f>
        <v>0</v>
      </c>
      <c r="O7" s="445">
        <f>landbouw!O8</f>
        <v>0</v>
      </c>
      <c r="P7" s="446">
        <f>landbouw!P8</f>
        <v>0</v>
      </c>
      <c r="Q7" s="444">
        <f t="shared" si="0"/>
        <v>9693.5696647647328</v>
      </c>
    </row>
    <row r="8" spans="1:17">
      <c r="A8" s="444" t="s">
        <v>613</v>
      </c>
      <c r="B8" s="445">
        <f>industrie!B18</f>
        <v>49032.15588479313</v>
      </c>
      <c r="C8" s="445">
        <f>industrie!C18</f>
        <v>26987.142857142859</v>
      </c>
      <c r="D8" s="445">
        <f>industrie!D18</f>
        <v>5414.5484625318641</v>
      </c>
      <c r="E8" s="445">
        <f>industrie!E18</f>
        <v>354.58473042869355</v>
      </c>
      <c r="F8" s="445">
        <f>industrie!F18</f>
        <v>5958.5751545561707</v>
      </c>
      <c r="G8" s="445">
        <f>industrie!G18</f>
        <v>0</v>
      </c>
      <c r="H8" s="445">
        <f>industrie!H18</f>
        <v>0</v>
      </c>
      <c r="I8" s="445">
        <f>industrie!I18</f>
        <v>0</v>
      </c>
      <c r="J8" s="445">
        <f>industrie!J18</f>
        <v>135.5559718381536</v>
      </c>
      <c r="K8" s="445">
        <f>industrie!K18</f>
        <v>0</v>
      </c>
      <c r="L8" s="445">
        <f>industrie!L18</f>
        <v>0</v>
      </c>
      <c r="M8" s="445">
        <f>industrie!M18</f>
        <v>0</v>
      </c>
      <c r="N8" s="445">
        <f>industrie!N18</f>
        <v>472.93637064952929</v>
      </c>
      <c r="O8" s="445">
        <f>industrie!O18</f>
        <v>0</v>
      </c>
      <c r="P8" s="446">
        <f>industrie!P18</f>
        <v>0</v>
      </c>
      <c r="Q8" s="444">
        <f t="shared" si="0"/>
        <v>88355.499431940392</v>
      </c>
    </row>
    <row r="9" spans="1:17" s="450" customFormat="1">
      <c r="A9" s="448" t="s">
        <v>555</v>
      </c>
      <c r="B9" s="449">
        <f>transport!B14</f>
        <v>2.5192360860130938</v>
      </c>
      <c r="C9" s="449">
        <f>transport!C14</f>
        <v>0</v>
      </c>
      <c r="D9" s="449">
        <f>transport!D14</f>
        <v>7.4390071859430522</v>
      </c>
      <c r="E9" s="449">
        <f>transport!E14</f>
        <v>903.67201141053897</v>
      </c>
      <c r="F9" s="449">
        <f>transport!F14</f>
        <v>0</v>
      </c>
      <c r="G9" s="449">
        <f>transport!G14</f>
        <v>216985.05795777281</v>
      </c>
      <c r="H9" s="449">
        <f>transport!H14</f>
        <v>27040.746156661309</v>
      </c>
      <c r="I9" s="449">
        <f>transport!I14</f>
        <v>0</v>
      </c>
      <c r="J9" s="449">
        <f>transport!J14</f>
        <v>0</v>
      </c>
      <c r="K9" s="449">
        <f>transport!K14</f>
        <v>0</v>
      </c>
      <c r="L9" s="449">
        <f>transport!L14</f>
        <v>0</v>
      </c>
      <c r="M9" s="449">
        <f>transport!M14</f>
        <v>10592.089306466223</v>
      </c>
      <c r="N9" s="449">
        <f>transport!N14</f>
        <v>0</v>
      </c>
      <c r="O9" s="449">
        <f>transport!O14</f>
        <v>0</v>
      </c>
      <c r="P9" s="449">
        <f>transport!P14</f>
        <v>0</v>
      </c>
      <c r="Q9" s="448">
        <f>SUM(B9:P9)</f>
        <v>255531.52367558284</v>
      </c>
    </row>
    <row r="10" spans="1:17">
      <c r="A10" s="444" t="s">
        <v>545</v>
      </c>
      <c r="B10" s="445">
        <f>transport!B54</f>
        <v>11.683053857826453</v>
      </c>
      <c r="C10" s="445">
        <f>transport!C54</f>
        <v>0</v>
      </c>
      <c r="D10" s="445">
        <f>transport!D54</f>
        <v>0</v>
      </c>
      <c r="E10" s="445">
        <f>transport!E54</f>
        <v>0</v>
      </c>
      <c r="F10" s="445">
        <f>transport!F54</f>
        <v>0</v>
      </c>
      <c r="G10" s="445">
        <f>transport!G54</f>
        <v>2534.5212382495715</v>
      </c>
      <c r="H10" s="445">
        <f>transport!H54</f>
        <v>0</v>
      </c>
      <c r="I10" s="445">
        <f>transport!I54</f>
        <v>0</v>
      </c>
      <c r="J10" s="445">
        <f>transport!J54</f>
        <v>0</v>
      </c>
      <c r="K10" s="445">
        <f>transport!K54</f>
        <v>0</v>
      </c>
      <c r="L10" s="445">
        <f>transport!L54</f>
        <v>0</v>
      </c>
      <c r="M10" s="445">
        <f>transport!M54</f>
        <v>108.51846369460443</v>
      </c>
      <c r="N10" s="445">
        <f>transport!N54</f>
        <v>0</v>
      </c>
      <c r="O10" s="445">
        <f>transport!O54</f>
        <v>0</v>
      </c>
      <c r="P10" s="446">
        <f>transport!P54</f>
        <v>0</v>
      </c>
      <c r="Q10" s="444">
        <f t="shared" si="0"/>
        <v>2654.7227558020027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962.60533298717905</v>
      </c>
      <c r="C14" s="452"/>
      <c r="D14" s="452">
        <f>'SEAP template'!E25</f>
        <v>2452.91946591944</v>
      </c>
      <c r="E14" s="452"/>
      <c r="F14" s="452"/>
      <c r="G14" s="452"/>
      <c r="H14" s="452"/>
      <c r="I14" s="452"/>
      <c r="J14" s="452"/>
      <c r="K14" s="452"/>
      <c r="L14" s="452"/>
      <c r="M14" s="452"/>
      <c r="N14" s="452"/>
      <c r="O14" s="452"/>
      <c r="P14" s="453"/>
      <c r="Q14" s="444">
        <f t="shared" si="0"/>
        <v>3415.5247989066193</v>
      </c>
    </row>
    <row r="15" spans="1:17" s="457" customFormat="1">
      <c r="A15" s="454" t="s">
        <v>549</v>
      </c>
      <c r="B15" s="455">
        <f ca="1">SUM(B4:B14)</f>
        <v>106037.47710813853</v>
      </c>
      <c r="C15" s="455">
        <f t="shared" ref="C15:Q15" ca="1" si="1">SUM(C4:C14)</f>
        <v>34362.857142857145</v>
      </c>
      <c r="D15" s="455">
        <f t="shared" ca="1" si="1"/>
        <v>105066.07605794366</v>
      </c>
      <c r="E15" s="455">
        <f t="shared" si="1"/>
        <v>2301.2013585591767</v>
      </c>
      <c r="F15" s="455">
        <f t="shared" ca="1" si="1"/>
        <v>33113.295064841674</v>
      </c>
      <c r="G15" s="455">
        <f t="shared" si="1"/>
        <v>219519.57919602239</v>
      </c>
      <c r="H15" s="455">
        <f t="shared" si="1"/>
        <v>27040.746156661309</v>
      </c>
      <c r="I15" s="455">
        <f t="shared" si="1"/>
        <v>0</v>
      </c>
      <c r="J15" s="455">
        <f t="shared" si="1"/>
        <v>629.32449958289931</v>
      </c>
      <c r="K15" s="455">
        <f t="shared" si="1"/>
        <v>0</v>
      </c>
      <c r="L15" s="455">
        <f t="shared" ca="1" si="1"/>
        <v>0</v>
      </c>
      <c r="M15" s="455">
        <f t="shared" si="1"/>
        <v>10700.607770160828</v>
      </c>
      <c r="N15" s="455">
        <f t="shared" ca="1" si="1"/>
        <v>7060.0872479573436</v>
      </c>
      <c r="O15" s="455">
        <f t="shared" si="1"/>
        <v>89.11</v>
      </c>
      <c r="P15" s="455">
        <f t="shared" si="1"/>
        <v>133.46666666666667</v>
      </c>
      <c r="Q15" s="455">
        <f t="shared" ca="1" si="1"/>
        <v>546053.82826939167</v>
      </c>
    </row>
    <row r="17" spans="1:17">
      <c r="A17" s="458" t="s">
        <v>550</v>
      </c>
      <c r="B17" s="725">
        <f ca="1">huishoudens!B10</f>
        <v>0.21995937637717869</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5117.4783611916528</v>
      </c>
      <c r="C22" s="445">
        <f t="shared" ref="C22:C32" ca="1" si="3">C4*$C$17</f>
        <v>0</v>
      </c>
      <c r="D22" s="445">
        <f t="shared" ref="D22:D32" si="4">D4*$D$17</f>
        <v>12656.735464113432</v>
      </c>
      <c r="E22" s="445">
        <f t="shared" ref="E22:E32" si="5">E4*$E$17</f>
        <v>131.56508437411571</v>
      </c>
      <c r="F22" s="445">
        <f t="shared" ref="F22:F32" si="6">F4*$F$17</f>
        <v>5282.2417162225738</v>
      </c>
      <c r="G22" s="445">
        <f t="shared" ref="G22:G32" si="7">G4*$G$17</f>
        <v>0</v>
      </c>
      <c r="H22" s="445">
        <f t="shared" ref="H22:H32" si="8">H4*$H$17</f>
        <v>0</v>
      </c>
      <c r="I22" s="445">
        <f t="shared" ref="I22:I32" si="9">I4*$I$17</f>
        <v>0</v>
      </c>
      <c r="J22" s="445">
        <f t="shared" ref="J22:J32" si="10">J4*$J$17</f>
        <v>157.69929877588979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23345.719924677662</v>
      </c>
    </row>
    <row r="23" spans="1:17">
      <c r="A23" s="444" t="s">
        <v>149</v>
      </c>
      <c r="B23" s="445">
        <f t="shared" ca="1" si="2"/>
        <v>6905.8148999840878</v>
      </c>
      <c r="C23" s="445">
        <f t="shared" ca="1" si="3"/>
        <v>0</v>
      </c>
      <c r="D23" s="445">
        <f t="shared" ca="1" si="4"/>
        <v>6975.8806985924693</v>
      </c>
      <c r="E23" s="445">
        <f t="shared" si="5"/>
        <v>104.20721108264176</v>
      </c>
      <c r="F23" s="445">
        <f t="shared" ca="1" si="6"/>
        <v>1490.6541448677358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15476.556954526934</v>
      </c>
    </row>
    <row r="24" spans="1:17">
      <c r="A24" s="444" t="s">
        <v>187</v>
      </c>
      <c r="B24" s="445">
        <f t="shared" ca="1" si="2"/>
        <v>195.7398694036639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195.7398694036639</v>
      </c>
    </row>
    <row r="25" spans="1:17">
      <c r="A25" s="444" t="s">
        <v>105</v>
      </c>
      <c r="B25" s="445">
        <f t="shared" ca="1" si="2"/>
        <v>104.96378030801797</v>
      </c>
      <c r="C25" s="445">
        <f t="shared" ca="1" si="3"/>
        <v>1752.8168067226895</v>
      </c>
      <c r="D25" s="445">
        <f t="shared" si="4"/>
        <v>0</v>
      </c>
      <c r="E25" s="445">
        <f t="shared" si="5"/>
        <v>0.97613253866990979</v>
      </c>
      <c r="F25" s="445">
        <f t="shared" si="6"/>
        <v>477.41435495592117</v>
      </c>
      <c r="G25" s="445">
        <f t="shared" si="7"/>
        <v>0</v>
      </c>
      <c r="H25" s="445">
        <f t="shared" si="8"/>
        <v>0</v>
      </c>
      <c r="I25" s="445">
        <f t="shared" si="9"/>
        <v>0</v>
      </c>
      <c r="J25" s="445">
        <f t="shared" si="10"/>
        <v>17.094760045750149</v>
      </c>
      <c r="K25" s="445">
        <f t="shared" si="11"/>
        <v>0</v>
      </c>
      <c r="L25" s="445">
        <f t="shared" si="12"/>
        <v>0</v>
      </c>
      <c r="M25" s="445">
        <f t="shared" si="13"/>
        <v>0</v>
      </c>
      <c r="N25" s="445">
        <f t="shared" si="14"/>
        <v>0</v>
      </c>
      <c r="O25" s="445">
        <f t="shared" si="15"/>
        <v>0</v>
      </c>
      <c r="P25" s="446">
        <f t="shared" si="16"/>
        <v>0</v>
      </c>
      <c r="Q25" s="444">
        <f t="shared" ca="1" si="17"/>
        <v>2353.2658345710488</v>
      </c>
    </row>
    <row r="26" spans="1:17">
      <c r="A26" s="444" t="s">
        <v>613</v>
      </c>
      <c r="B26" s="445">
        <f t="shared" ca="1" si="2"/>
        <v>10785.082430847709</v>
      </c>
      <c r="C26" s="445">
        <f t="shared" ca="1" si="3"/>
        <v>6413.4151260504223</v>
      </c>
      <c r="D26" s="445">
        <f t="shared" si="4"/>
        <v>1093.7387894314365</v>
      </c>
      <c r="E26" s="445">
        <f t="shared" si="5"/>
        <v>80.490733807313433</v>
      </c>
      <c r="F26" s="445">
        <f t="shared" si="6"/>
        <v>1590.9395662664976</v>
      </c>
      <c r="G26" s="445">
        <f t="shared" si="7"/>
        <v>0</v>
      </c>
      <c r="H26" s="445">
        <f t="shared" si="8"/>
        <v>0</v>
      </c>
      <c r="I26" s="445">
        <f t="shared" si="9"/>
        <v>0</v>
      </c>
      <c r="J26" s="445">
        <f t="shared" si="10"/>
        <v>47.98681403070637</v>
      </c>
      <c r="K26" s="445">
        <f t="shared" si="11"/>
        <v>0</v>
      </c>
      <c r="L26" s="445">
        <f t="shared" si="12"/>
        <v>0</v>
      </c>
      <c r="M26" s="445">
        <f t="shared" si="13"/>
        <v>0</v>
      </c>
      <c r="N26" s="445">
        <f t="shared" si="14"/>
        <v>0</v>
      </c>
      <c r="O26" s="445">
        <f t="shared" si="15"/>
        <v>0</v>
      </c>
      <c r="P26" s="446">
        <f t="shared" si="16"/>
        <v>0</v>
      </c>
      <c r="Q26" s="444">
        <f t="shared" ca="1" si="17"/>
        <v>20011.653460434089</v>
      </c>
    </row>
    <row r="27" spans="1:17" s="450" customFormat="1">
      <c r="A27" s="448" t="s">
        <v>555</v>
      </c>
      <c r="B27" s="719">
        <f t="shared" ca="1" si="2"/>
        <v>0.55412959842632459</v>
      </c>
      <c r="C27" s="449">
        <f t="shared" ca="1" si="3"/>
        <v>0</v>
      </c>
      <c r="D27" s="449">
        <f t="shared" si="4"/>
        <v>1.5026794515604966</v>
      </c>
      <c r="E27" s="449">
        <f t="shared" si="5"/>
        <v>205.13354659019237</v>
      </c>
      <c r="F27" s="449">
        <f t="shared" si="6"/>
        <v>0</v>
      </c>
      <c r="G27" s="449">
        <f t="shared" si="7"/>
        <v>57935.010474725343</v>
      </c>
      <c r="H27" s="449">
        <f t="shared" si="8"/>
        <v>6733.1457930086663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64875.346623374193</v>
      </c>
    </row>
    <row r="28" spans="1:17">
      <c r="A28" s="444" t="s">
        <v>545</v>
      </c>
      <c r="B28" s="445">
        <f t="shared" ca="1" si="2"/>
        <v>2.5697972407484984</v>
      </c>
      <c r="C28" s="445">
        <f t="shared" ca="1" si="3"/>
        <v>0</v>
      </c>
      <c r="D28" s="445">
        <f t="shared" si="4"/>
        <v>0</v>
      </c>
      <c r="E28" s="445">
        <f t="shared" si="5"/>
        <v>0</v>
      </c>
      <c r="F28" s="445">
        <f t="shared" si="6"/>
        <v>0</v>
      </c>
      <c r="G28" s="445">
        <f t="shared" si="7"/>
        <v>676.71717061263564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679.28696785338411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211.73406874120633</v>
      </c>
      <c r="C32" s="445">
        <f t="shared" ca="1" si="3"/>
        <v>0</v>
      </c>
      <c r="D32" s="445">
        <f t="shared" si="4"/>
        <v>495.48973211572689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707.22380085693317</v>
      </c>
    </row>
    <row r="33" spans="1:17" s="457" customFormat="1">
      <c r="A33" s="454" t="s">
        <v>549</v>
      </c>
      <c r="B33" s="455">
        <f ca="1">SUM(B22:B32)</f>
        <v>23323.93733731551</v>
      </c>
      <c r="C33" s="455">
        <f t="shared" ref="C33:Q33" ca="1" si="19">SUM(C22:C32)</f>
        <v>8166.231932773112</v>
      </c>
      <c r="D33" s="455">
        <f t="shared" ca="1" si="19"/>
        <v>21223.347363704626</v>
      </c>
      <c r="E33" s="455">
        <f t="shared" si="19"/>
        <v>522.37270839293319</v>
      </c>
      <c r="F33" s="455">
        <f t="shared" ca="1" si="19"/>
        <v>8841.2497823127287</v>
      </c>
      <c r="G33" s="455">
        <f t="shared" si="19"/>
        <v>58611.727645337982</v>
      </c>
      <c r="H33" s="455">
        <f t="shared" si="19"/>
        <v>6733.1457930086663</v>
      </c>
      <c r="I33" s="455">
        <f t="shared" si="19"/>
        <v>0</v>
      </c>
      <c r="J33" s="455">
        <f t="shared" si="19"/>
        <v>222.78087285234631</v>
      </c>
      <c r="K33" s="455">
        <f t="shared" si="19"/>
        <v>0</v>
      </c>
      <c r="L33" s="455">
        <f t="shared" ca="1" si="19"/>
        <v>0</v>
      </c>
      <c r="M33" s="455">
        <f t="shared" si="19"/>
        <v>0</v>
      </c>
      <c r="N33" s="455">
        <f t="shared" ca="1" si="19"/>
        <v>0</v>
      </c>
      <c r="O33" s="455">
        <f t="shared" si="19"/>
        <v>0</v>
      </c>
      <c r="P33" s="455">
        <f t="shared" si="19"/>
        <v>0</v>
      </c>
      <c r="Q33" s="455">
        <f t="shared" ca="1" si="19"/>
        <v>127644.79343569792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2311.1921109696032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24054</v>
      </c>
      <c r="D8" s="963">
        <f>'SEAP template'!D76</f>
        <v>28298.823529411766</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5716.3623529411771</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2311.1921109696032</v>
      </c>
      <c r="C10" s="967">
        <f>SUM(C4:C9)</f>
        <v>24054</v>
      </c>
      <c r="D10" s="967">
        <f t="shared" ref="D10:H10" si="0">SUM(D8:D9)</f>
        <v>28298.823529411766</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5716.3623529411771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0.21995937637717869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34362.857142857145</v>
      </c>
      <c r="D17" s="964">
        <f>'SEAP template'!D87</f>
        <v>40426.890756302528</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8166.2319327731111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34362.857142857145</v>
      </c>
      <c r="D20" s="967">
        <f t="shared" ref="D20:H20" si="2">SUM(D17:D19)</f>
        <v>40426.890756302528</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8166.2319327731111</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0.21995937637717869</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2022-07-26T12:44:03Z</dcterms:modified>
</cp:coreProperties>
</file>