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05179616-AC31-419E-9422-911185AE4D9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H9" i="18"/>
  <c r="V40" i="18"/>
  <c r="U40" i="18"/>
  <c r="T40" i="18"/>
  <c r="I9" i="18"/>
  <c r="S40" i="18"/>
  <c r="E9" i="18"/>
  <c r="R40" i="18"/>
  <c r="Q40" i="18"/>
  <c r="P40" i="18"/>
  <c r="C9" i="18"/>
  <c r="O40" i="18"/>
  <c r="N40" i="18"/>
  <c r="B9" i="18"/>
  <c r="M40" i="18"/>
  <c r="W36" i="18"/>
  <c r="V36" i="18"/>
  <c r="U36" i="18"/>
  <c r="T36" i="18"/>
  <c r="S36" i="18"/>
  <c r="R36" i="18"/>
  <c r="Q36" i="18"/>
  <c r="P36" i="18"/>
  <c r="O36" i="18"/>
  <c r="N36" i="18"/>
  <c r="M36"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B8" i="18"/>
  <c r="M33" i="18"/>
  <c r="G22" i="18"/>
  <c r="F22" i="18"/>
  <c r="E22" i="18"/>
  <c r="D22" i="18"/>
  <c r="C22" i="18"/>
  <c r="D20" i="18"/>
  <c r="G12" i="18"/>
  <c r="F12" i="18"/>
  <c r="E12" i="18"/>
  <c r="D12" i="18"/>
  <c r="C12" i="18"/>
  <c r="L10" i="18"/>
  <c r="K10" i="18"/>
  <c r="G10" i="18"/>
  <c r="D10" i="18"/>
  <c r="B6" i="18"/>
  <c r="B5" i="18"/>
  <c r="B4" i="18"/>
  <c r="G20" i="18"/>
  <c r="K20" i="18"/>
  <c r="B49" i="18"/>
  <c r="I53" i="18"/>
  <c r="H17" i="18"/>
  <c r="J9" i="18"/>
  <c r="O9" i="18"/>
  <c r="B17" i="18"/>
  <c r="B20" i="18"/>
  <c r="C49" i="18"/>
  <c r="H52" i="18"/>
  <c r="O19" i="18"/>
  <c r="O18" i="18"/>
  <c r="L20" i="18"/>
  <c r="B10" i="18"/>
  <c r="D53"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3" i="18"/>
  <c r="C17" i="18"/>
  <c r="D87" i="14"/>
  <c r="D17" i="55"/>
  <c r="D20" i="55"/>
  <c r="L20" i="55"/>
  <c r="F53" i="18"/>
  <c r="G53" i="18"/>
  <c r="I17" i="18"/>
  <c r="J77" i="14"/>
  <c r="J9" i="55"/>
  <c r="H53" i="18"/>
  <c r="H20" i="18"/>
  <c r="M87" i="14"/>
  <c r="M17" i="55"/>
  <c r="M20" i="55"/>
  <c r="C53" i="18"/>
  <c r="E53" i="18"/>
  <c r="E17" i="18"/>
  <c r="K10" i="55"/>
  <c r="C52" i="18"/>
  <c r="E52" i="18"/>
  <c r="E8" i="18"/>
  <c r="G52" i="18"/>
  <c r="I52" i="18"/>
  <c r="H8" i="18"/>
  <c r="B52" i="18"/>
  <c r="C8" i="18"/>
  <c r="D76" i="14"/>
  <c r="D8" i="55"/>
  <c r="D10" i="55"/>
  <c r="D52" i="18"/>
  <c r="F52"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<sst xmlns="http://schemas.openxmlformats.org/spreadsheetml/2006/main" count="2538" uniqueCount="965">
  <si>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</si>
  <si>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</si>
  <si>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</si>
  <si>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</si>
  <si>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</si>
  <si>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</si>
  <si>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</si>
  <si>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</si>
  <si>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</si>
  <si>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</si>
  <si>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</si>
  <si>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</si>
  <si>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</si>
  <si>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</si>
  <si>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</si>
  <si>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</si>
  <si>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</si>
  <si>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</si>
  <si>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</si>
  <si>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</si>
  <si>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</si>
  <si>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</si>
  <si>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</si>
  <si>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</si>
  <si>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</si>
  <si>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</si>
  <si>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</si>
  <si>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</si>
  <si>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</si>
  <si>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</si>
  <si>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</si>
  <si>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</si>
  <si>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</si>
  <si>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</si>
  <si>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</si>
  <si>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</si>
  <si>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</si>
  <si>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</si>
  <si>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</si>
  <si>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</si>
  <si>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</si>
  <si>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</si>
  <si>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</si>
  <si>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</si>
  <si>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</si>
  <si>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</si>
  <si>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</si>
  <si>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</si>
  <si>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</si>
  <si>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</si>
  <si>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</si>
  <si>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</si>
  <si>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</si>
  <si>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</si>
  <si>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</si>
  <si>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</si>
  <si>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</si>
  <si>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</si>
  <si>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</si>
  <si>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</si>
  <si>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</si>
  <si>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</si>
  <si>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</si>
  <si>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</si>
  <si>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</si>
  <si>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</si>
  <si>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</si>
  <si>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</si>
  <si>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</si>
  <si>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</si>
  <si>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</si>
  <si>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</si>
  <si>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</si>
  <si>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</si>
  <si>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</si>
  <si>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</si>
  <si>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</si>
  <si>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</si>
  <si>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</si>
  <si>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</si>
  <si>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</si>
  <si>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</si>
  <si>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</si>
  <si>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</si>
  <si>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</si>
  <si>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</si>
  <si>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</si>
  <si>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</si>
  <si>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</si>
  <si>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</si>
  <si>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</si>
  <si>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</si>
  <si>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</si>
  <si>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</si>
  <si>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</si>
  <si>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</si>
  <si>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</si>
  <si>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</si>
  <si>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</si>
  <si>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</si>
  <si>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</si>
  <si>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</si>
  <si>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</si>
  <si>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</si>
  <si>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</si>
  <si>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</si>
  <si>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</si>
  <si>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</si>
  <si>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</si>
  <si>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</si>
  <si>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</si>
  <si>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</si>
  <si>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</si>
  <si>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</si>
  <si>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</si>
  <si>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</si>
  <si>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</si>
  <si>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</si>
  <si>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</si>
  <si>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</si>
  <si>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</si>
  <si>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</si>
  <si>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</si>
  <si>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</si>
  <si>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</si>
  <si>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</si>
  <si>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</si>
  <si>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</si>
  <si>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</si>
  <si>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</si>
  <si>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</si>
  <si>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</si>
  <si>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</si>
  <si>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</si>
  <si>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</si>
  <si>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</si>
  <si>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</si>
  <si>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</si>
  <si>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</si>
  <si>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</si>
  <si>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</si>
  <si>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</si>
  <si>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</si>
  <si>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</si>
  <si>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</si>
  <si>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</si>
  <si>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</si>
  <si>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</si>
  <si>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</si>
  <si>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</si>
  <si>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</si>
  <si>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</si>
  <si>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</si>
  <si>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</si>
  <si>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</si>
  <si>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</si>
  <si>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</si>
  <si>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</si>
  <si>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</si>
  <si>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</si>
  <si>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</si>
  <si>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</si>
  <si>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</si>
  <si>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</si>
  <si>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</si>
  <si>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</si>
  <si>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</si>
  <si>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</si>
  <si>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</si>
  <si>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</si>
  <si>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</si>
  <si>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</si>
  <si>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</si>
  <si>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</si>
  <si>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</si>
  <si>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</si>
  <si>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</si>
  <si>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</si>
  <si>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</si>
  <si>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</si>
  <si>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</si>
  <si>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</si>
  <si>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</si>
  <si>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</si>
  <si>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</si>
  <si>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</si>
  <si>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</si>
  <si>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</si>
  <si>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</si>
  <si>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</si>
  <si>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</si>
  <si>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</si>
  <si>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</si>
  <si>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</si>
  <si>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</si>
  <si>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</si>
  <si>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</si>
  <si>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</si>
  <si>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</si>
  <si>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</si>
  <si>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</si>
  <si>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</si>
  <si>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</si>
  <si>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</si>
  <si>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</si>
  <si>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</si>
  <si>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</si>
  <si>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</si>
  <si>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</si>
  <si>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</si>
  <si>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</si>
  <si>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</si>
  <si>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</si>
  <si>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</si>
  <si>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</si>
  <si>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</si>
  <si>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</si>
  <si>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</si>
  <si>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</si>
  <si>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</si>
  <si>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</si>
  <si>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</si>
  <si>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</si>
  <si>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</si>
  <si>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</si>
  <si>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</si>
  <si>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</si>
  <si>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</si>
  <si>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</si>
  <si>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</si>
  <si>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</si>
  <si>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</si>
  <si>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</si>
  <si>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</si>
  <si>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</si>
  <si>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</si>
  <si>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</si>
  <si>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</si>
  <si>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</si>
  <si>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</si>
  <si>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</si>
  <si>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</si>
  <si>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</si>
  <si>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</si>
  <si>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</si>
  <si>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</si>
  <si>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</si>
  <si>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</si>
  <si>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</si>
  <si>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</si>
  <si>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</si>
  <si>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</si>
  <si>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</si>
  <si>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</si>
  <si>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</si>
  <si>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</si>
  <si>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</si>
  <si>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</si>
  <si>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</si>
  <si>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</si>
  <si>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</si>
  <si>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</si>
  <si>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</si>
  <si>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</si>
  <si>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</si>
  <si>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</si>
  <si>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</si>
  <si>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</si>
  <si>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</si>
  <si>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</si>
  <si>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</si>
  <si>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</si>
  <si>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</si>
  <si>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</si>
  <si>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</si>
  <si>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</si>
  <si>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</si>
  <si>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</si>
  <si>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</si>
  <si>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</si>
  <si>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</si>
  <si>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</si>
  <si>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</si>
  <si>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</si>
  <si>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</si>
  <si>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</si>
  <si>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</si>
  <si>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</si>
  <si>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</si>
  <si>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</si>
  <si>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</si>
  <si>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</si>
  <si>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</si>
  <si>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</si>
  <si>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</si>
  <si>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</si>
  <si>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</si>
  <si>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</si>
  <si>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</si>
  <si>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</si>
  <si>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</si>
  <si>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</si>
  <si>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</si>
  <si>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</si>
  <si>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</si>
  <si>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</si>
  <si>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</si>
  <si>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</si>
  <si>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</si>
  <si>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</si>
  <si>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</si>
  <si>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</si>
  <si>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</si>
  <si>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</si>
  <si>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</si>
  <si>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</si>
  <si>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</si>
  <si>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</si>
  <si>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</si>
  <si>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</si>
  <si>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</si>
  <si>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</si>
  <si>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</si>
  <si>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</si>
  <si>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</si>
  <si>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</si>
  <si>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</si>
  <si>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</si>
  <si>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</si>
  <si>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</si>
  <si>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</si>
  <si>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</si>
  <si>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</si>
  <si>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</si>
  <si>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</si>
  <si>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</si>
  <si>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</si>
  <si>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</si>
  <si>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</si>
  <si>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</si>
  <si>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</si>
  <si>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</si>
  <si>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</si>
  <si>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</si>
  <si>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</si>
  <si>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</si>
  <si>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</si>
  <si>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</si>
  <si>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</si>
  <si>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</si>
  <si>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</si>
  <si>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</si>
  <si>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</si>
  <si>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</si>
  <si>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</si>
  <si>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</si>
  <si>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</si>
  <si>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</si>
  <si>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</si>
  <si>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</si>
  <si>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</si>
  <si>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</si>
  <si>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</si>
  <si>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</si>
  <si>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</si>
  <si>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</si>
  <si>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</si>
  <si>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</si>
  <si>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</si>
  <si>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</si>
  <si>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</si>
  <si>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</si>
  <si>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</si>
  <si>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</si>
  <si>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</si>
  <si>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</si>
  <si>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</si>
  <si>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</si>
  <si>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</si>
  <si>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</si>
  <si>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</si>
  <si>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</si>
  <si>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</si>
  <si>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</si>
  <si>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</si>
  <si>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</si>
  <si>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</si>
  <si>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</si>
  <si>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</si>
  <si>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</si>
  <si>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</si>
  <si>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</si>
  <si>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</si>
  <si>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</si>
  <si>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</si>
  <si>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</si>
  <si>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</si>
  <si>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</si>
  <si>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</si>
  <si>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</si>
  <si>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</si>
  <si>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</si>
  <si>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</si>
  <si>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</si>
  <si>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</si>
  <si>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</si>
  <si>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</si>
  <si>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</si>
  <si>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</si>
  <si>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</si>
  <si>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</si>
  <si>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</si>
  <si>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</si>
  <si>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</si>
  <si>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</si>
  <si>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</si>
  <si>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</si>
  <si>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</si>
  <si>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</si>
  <si>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</si>
  <si>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</si>
  <si>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</si>
  <si>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</si>
  <si>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</si>
  <si>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</si>
  <si>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</si>
  <si>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</si>
  <si>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</si>
  <si>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</si>
  <si>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</si>
  <si>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</si>
  <si>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</si>
  <si>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</si>
  <si>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</si>
  <si>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</si>
  <si>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</si>
  <si>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</si>
  <si>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</si>
  <si>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</si>
  <si>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</si>
  <si>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</si>
  <si>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</si>
  <si>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</si>
  <si>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</si>
  <si>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</si>
  <si>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</si>
  <si>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</si>
  <si>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</si>
  <si>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</si>
  <si>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</si>
  <si>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</si>
  <si>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</si>
  <si>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</si>
  <si>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</si>
  <si>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</si>
  <si>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</si>
  <si>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</si>
  <si>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</si>
  <si>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</si>
  <si>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</si>
  <si>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</si>
  <si>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</si>
  <si>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</si>
  <si>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</si>
  <si>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</si>
  <si>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</si>
  <si>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</si>
  <si>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</si>
  <si>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</si>
  <si>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</si>
  <si>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</si>
  <si>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</si>
  <si>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</si>
  <si>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</si>
  <si>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</si>
  <si>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</si>
  <si>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</si>
  <si>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</si>
  <si>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</si>
  <si>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</si>
  <si>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</si>
  <si>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</si>
  <si>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</si>
  <si>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</si>
  <si>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</si>
  <si>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</si>
  <si>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</si>
  <si>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</si>
  <si>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</si>
  <si>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</si>
  <si>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</si>
  <si>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</si>
  <si>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</si>
  <si>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</si>
  <si>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</si>
  <si>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</si>
  <si>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</si>
  <si>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</si>
  <si>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</si>
  <si>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</si>
  <si>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</si>
  <si>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</si>
  <si>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</si>
  <si>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</si>
  <si>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</si>
  <si>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</si>
  <si>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</si>
  <si>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</si>
  <si>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</si>
  <si>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</si>
  <si>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</si>
  <si>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</si>
  <si>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</si>
  <si>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</si>
  <si>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</si>
  <si>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</si>
  <si>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</si>
  <si>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</si>
  <si>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</si>
  <si>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</si>
  <si>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</si>
  <si>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</si>
  <si>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</si>
  <si>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</si>
  <si>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</si>
  <si>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</si>
  <si>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</si>
  <si>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</si>
  <si>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</si>
  <si>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</si>
  <si>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</si>
  <si>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</si>
  <si>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</si>
  <si>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</si>
  <si>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</si>
  <si>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</si>
  <si>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</si>
  <si>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</si>
  <si>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</si>
  <si>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</si>
  <si>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</si>
  <si>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</si>
  <si>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</si>
  <si>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</si>
  <si>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</si>
  <si>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</si>
  <si>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</si>
  <si>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</si>
  <si>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</si>
  <si>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</si>
  <si>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</si>
  <si>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</si>
  <si>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</si>
  <si>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</si>
  <si>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</si>
  <si>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</si>
  <si>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</si>
  <si>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</si>
  <si>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</si>
  <si>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</si>
  <si>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</si>
  <si>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</si>
  <si>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</si>
  <si>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</si>
  <si>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</si>
  <si>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</si>
  <si>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</si>
  <si>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</si>
  <si>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</si>
  <si>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</si>
  <si>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</si>
  <si>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</si>
  <si>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</si>
  <si>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</si>
  <si>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</si>
  <si>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</si>
  <si>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</si>
  <si>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</si>
  <si>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</si>
  <si>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</si>
  <si>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</si>
  <si>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</si>
  <si>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</si>
  <si>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</si>
  <si>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</si>
  <si>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</si>
  <si>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</si>
  <si>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</si>
  <si>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</si>
  <si>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</si>
  <si>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</si>
  <si>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</si>
  <si>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</si>
  <si>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</si>
  <si>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</si>
  <si>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</si>
  <si>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</si>
  <si>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</si>
  <si>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</si>
  <si>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</si>
  <si>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</si>
  <si>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</si>
  <si>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</si>
  <si>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</si>
  <si>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</si>
  <si>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</si>
  <si>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</si>
  <si>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</si>
  <si>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</si>
  <si>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</si>
  <si>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</si>
  <si>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</si>
  <si>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</si>
  <si>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</si>
  <si>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</si>
  <si>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</si>
  <si>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</si>
  <si>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</si>
  <si>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</si>
  <si>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</si>
  <si>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</si>
  <si>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</si>
  <si>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</si>
  <si>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</si>
  <si>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</si>
  <si>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</si>
  <si>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</si>
  <si>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</si>
  <si>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</si>
  <si>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</si>
  <si>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</si>
  <si>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</si>
  <si>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</si>
  <si>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</si>
  <si>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</si>
  <si>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</si>
  <si>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</si>
  <si>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</si>
  <si>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</si>
  <si>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</si>
  <si>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</si>
  <si>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</si>
  <si>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</si>
  <si>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</si>
  <si>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</si>
  <si>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</si>
  <si>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</si>
  <si>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</si>
  <si>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</si>
  <si>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</si>
  <si>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</si>
  <si>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</si>
  <si>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</si>
  <si>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</si>
  <si>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</si>
  <si>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</si>
  <si>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</si>
  <si>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</si>
  <si>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</si>
  <si>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</si>
  <si>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</si>
  <si>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</si>
  <si>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</si>
  <si>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</si>
  <si>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</si>
  <si>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</si>
  <si>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</si>
  <si>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</si>
  <si>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</si>
  <si>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</si>
  <si>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</si>
  <si>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</si>
  <si>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</si>
  <si>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</si>
  <si>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</si>
  <si>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</si>
  <si>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</si>
  <si>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</si>
  <si>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</si>
  <si>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</si>
  <si>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</si>
  <si>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</si>
  <si>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</si>
  <si>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</si>
  <si>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</si>
  <si>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</si>
  <si>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</si>
  <si>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</si>
  <si>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</si>
  <si>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</si>
  <si>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</si>
  <si>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</si>
  <si>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</si>
  <si>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</si>
  <si>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</si>
  <si>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</si>
  <si>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</si>
  <si>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</si>
  <si>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</si>
  <si>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</si>
  <si>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</si>
  <si>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</si>
  <si>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</si>
  <si>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</si>
  <si>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</si>
  <si>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</si>
  <si>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</si>
  <si>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</si>
  <si>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</si>
  <si>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</si>
  <si>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</si>
  <si>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</si>
  <si>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</si>
  <si>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</si>
  <si>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</si>
  <si>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</si>
  <si>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</si>
  <si>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</si>
  <si>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</si>
  <si>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</si>
  <si>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</si>
  <si>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</si>
  <si>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</si>
  <si>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</si>
  <si>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</si>
  <si>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</si>
  <si>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</si>
  <si>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</si>
  <si>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</si>
  <si>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</si>
  <si>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</si>
  <si>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</si>
  <si>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</si>
  <si>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</si>
  <si>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</si>
  <si>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</si>
  <si>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</si>
  <si>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</si>
  <si>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</si>
  <si>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</si>
  <si>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</si>
  <si>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</si>
  <si>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</si>
  <si>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</si>
  <si>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</si>
  <si>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</si>
  <si>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</si>
  <si>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</si>
  <si>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</si>
  <si>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</si>
  <si>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</si>
  <si>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</si>
  <si>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</si>
  <si>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</si>
  <si>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</si>
  <si>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</si>
  <si>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</si>
  <si>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</si>
  <si>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</si>
  <si>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</si>
  <si>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</si>
  <si>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</si>
  <si>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</si>
  <si>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</si>
  <si>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</si>
  <si>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</si>
  <si>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</si>
  <si>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</si>
  <si>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</si>
  <si>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</si>
  <si>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</si>
  <si>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</si>
  <si>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</si>
  <si>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</si>
  <si>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</si>
  <si>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</si>
  <si>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</si>
  <si>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</si>
  <si>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</si>
  <si>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</si>
  <si>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</si>
  <si>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</si>
  <si>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</si>
  <si>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</si>
  <si>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</si>
  <si>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</si>
  <si>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</si>
  <si>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</si>
  <si>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</si>
  <si>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</si>
  <si>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</si>
  <si>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</si>
  <si>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</si>
  <si>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</si>
  <si>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</si>
  <si>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</si>
  <si>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</si>
  <si>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</si>
  <si>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</si>
  <si>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</si>
  <si>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</si>
  <si>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</si>
  <si>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</si>
  <si>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</si>
  <si>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</si>
  <si>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</si>
  <si>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</si>
  <si>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</si>
  <si>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</si>
  <si>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</si>
  <si>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</si>
  <si>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</si>
  <si>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</si>
  <si>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</si>
  <si>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</si>
  <si>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</si>
  <si>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</si>
  <si>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</si>
  <si>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</si>
  <si>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</si>
  <si>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</si>
  <si>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</si>
  <si>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</si>
  <si>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</si>
  <si>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</si>
  <si>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</si>
  <si>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</si>
  <si>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</si>
  <si>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</si>
  <si>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</si>
  <si>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</si>
  <si>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</si>
  <si>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</si>
  <si>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</si>
  <si>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</si>
  <si>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</si>
  <si>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</si>
  <si>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</si>
  <si>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</si>
  <si>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</si>
  <si>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</si>
  <si>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</si>
  <si>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</si>
  <si>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</si>
  <si>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</si>
  <si>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</si>
  <si>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</si>
  <si>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</si>
  <si>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</si>
  <si>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</si>
  <si>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</si>
  <si>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</si>
  <si>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</si>
  <si>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</si>
  <si>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</si>
  <si>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</si>
  <si>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</si>
  <si>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</si>
  <si>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</si>
  <si>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</si>
  <si>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</si>
  <si>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</si>
  <si>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</si>
  <si>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</si>
  <si>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</si>
  <si>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</si>
  <si>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</si>
  <si>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</si>
  <si>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</si>
  <si>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</si>
  <si>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</si>
  <si>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</si>
  <si>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</si>
  <si>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</si>
  <si>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</si>
  <si>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</si>
  <si>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</si>
  <si>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</si>
  <si>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</si>
  <si>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</si>
  <si>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</si>
  <si>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</si>
  <si>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</si>
  <si>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</si>
  <si>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</si>
  <si>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</si>
  <si>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</si>
  <si>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</si>
  <si>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</si>
  <si>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</si>
  <si>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</si>
  <si>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</si>
  <si>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</si>
  <si>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</si>
  <si>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</si>
  <si>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</si>
  <si>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</si>
  <si>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</si>
  <si>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</si>
  <si>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</si>
  <si>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</si>
  <si>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</si>
  <si>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</si>
  <si>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</si>
  <si>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</si>
  <si>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</si>
  <si>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</si>
  <si>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</si>
  <si>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</si>
  <si>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</si>
  <si>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</si>
  <si>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</si>
  <si>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</si>
  <si>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</si>
  <si>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</si>
  <si>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</si>
  <si>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</si>
  <si>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</si>
  <si>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</si>
  <si>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</si>
  <si>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</si>
  <si>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</si>
  <si>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</si>
  <si>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</si>
  <si>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</si>
  <si>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</si>
  <si>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</si>
  <si>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</si>
  <si>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</si>
  <si>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</si>
  <si>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</si>
  <si>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</si>
  <si>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</si>
  <si>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</si>
  <si>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</si>
  <si>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</si>
  <si>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</si>
  <si>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</si>
  <si>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</si>
  <si>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</si>
  <si>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</si>
  <si>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</si>
  <si>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</si>
  <si>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</si>
  <si>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</si>
  <si>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</si>
  <si>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</si>
  <si>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</si>
  <si>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</si>
  <si>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</si>
  <si>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</si>
  <si>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</si>
  <si>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</si>
  <si>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</si>
  <si>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</si>
  <si>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</si>
  <si>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</si>
  <si>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11037</t>
  </si>
  <si>
    <t>RUMST</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</si>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</sst>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5DCDE30E-4085-4336-AAD1-DF6F5BDF91E8}"/>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11037</v>
      </c>
      <c r="B6" s="382"/>
      <c r="C6" s="383"/>
    </row>
    <row r="7" spans="1:7" s="380" customFormat="1" ht="15.75" customHeight="1">
      <c r="A7" s="384" t="str">
        <f>txtMunicipality</f>
        <v>RUMST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0.22554862763445357</v>
      </c>
      <c r="C17" s="494">
        <f ca="1">'EF ele_warmte'!B22</f>
        <v>0.23764705882352941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0.22554862763445357</v>
      </c>
      <c r="C29" s="495">
        <f ca="1">'EF ele_warmte'!B22</f>
        <v>0.23764705882352941</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5932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572</v>
      </c>
      <c r="C14" s="324"/>
      <c r="D14" s="324"/>
      <c r="E14" s="324"/>
      <c r="F14" s="324"/>
    </row>
    <row r="15" spans="1:6">
      <c r="A15" s="1235" t="s">
        <v>177</v>
      </c>
      <c r="B15" s="1236">
        <v>9</v>
      </c>
      <c r="C15" s="324"/>
      <c r="D15" s="324"/>
      <c r="E15" s="324"/>
      <c r="F15" s="324"/>
    </row>
    <row r="16" spans="1:6">
      <c r="A16" s="1235" t="s">
        <v>6</v>
      </c>
      <c r="B16" s="1236">
        <v>582</v>
      </c>
      <c r="C16" s="324"/>
      <c r="D16" s="324"/>
      <c r="E16" s="324"/>
      <c r="F16" s="324"/>
    </row>
    <row r="17" spans="1:6">
      <c r="A17" s="1235" t="s">
        <v>7</v>
      </c>
      <c r="B17" s="1236">
        <v>63</v>
      </c>
      <c r="C17" s="324"/>
      <c r="D17" s="324"/>
      <c r="E17" s="324"/>
      <c r="F17" s="324"/>
    </row>
    <row r="18" spans="1:6">
      <c r="A18" s="1235" t="s">
        <v>8</v>
      </c>
      <c r="B18" s="1236">
        <v>357</v>
      </c>
      <c r="C18" s="324"/>
      <c r="D18" s="324"/>
      <c r="E18" s="324"/>
      <c r="F18" s="324"/>
    </row>
    <row r="19" spans="1:6">
      <c r="A19" s="1235" t="s">
        <v>9</v>
      </c>
      <c r="B19" s="1236">
        <v>280</v>
      </c>
      <c r="C19" s="324"/>
      <c r="D19" s="324"/>
      <c r="E19" s="324"/>
      <c r="F19" s="324"/>
    </row>
    <row r="20" spans="1:6">
      <c r="A20" s="1235" t="s">
        <v>10</v>
      </c>
      <c r="B20" s="1236">
        <v>169</v>
      </c>
      <c r="C20" s="324"/>
      <c r="D20" s="324"/>
      <c r="E20" s="324"/>
      <c r="F20" s="324"/>
    </row>
    <row r="21" spans="1:6">
      <c r="A21" s="1235" t="s">
        <v>11</v>
      </c>
      <c r="B21" s="1236">
        <v>0</v>
      </c>
      <c r="C21" s="324"/>
      <c r="D21" s="324"/>
      <c r="E21" s="324"/>
      <c r="F21" s="324"/>
    </row>
    <row r="22" spans="1:6">
      <c r="A22" s="1235" t="s">
        <v>12</v>
      </c>
      <c r="B22" s="1236">
        <v>475</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64253</v>
      </c>
      <c r="C28" s="324"/>
      <c r="D28" s="324"/>
      <c r="E28" s="324"/>
      <c r="F28" s="324"/>
    </row>
    <row r="29" spans="1:6">
      <c r="A29" s="1235" t="s">
        <v>959</v>
      </c>
      <c r="B29" s="1237">
        <v>12</v>
      </c>
      <c r="C29" s="324"/>
      <c r="D29" s="324"/>
      <c r="E29" s="324"/>
      <c r="F29" s="324"/>
    </row>
    <row r="30" spans="1:6">
      <c r="A30" s="1230" t="s">
        <v>960</v>
      </c>
      <c r="B30" s="1238">
        <v>4</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5</v>
      </c>
      <c r="F36" s="1236">
        <v>13384</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4471</v>
      </c>
      <c r="D39" s="1236">
        <v>77639279.084934995</v>
      </c>
      <c r="E39" s="1236">
        <v>5855</v>
      </c>
      <c r="F39" s="1236">
        <v>27887116.060184799</v>
      </c>
    </row>
    <row r="40" spans="1:6">
      <c r="A40" s="1235" t="s">
        <v>29</v>
      </c>
      <c r="B40" s="1235" t="s">
        <v>28</v>
      </c>
      <c r="C40" s="1236">
        <v>0</v>
      </c>
      <c r="D40" s="1236">
        <v>0</v>
      </c>
      <c r="E40" s="1236">
        <v>0</v>
      </c>
      <c r="F40" s="1236">
        <v>0</v>
      </c>
    </row>
    <row r="41" spans="1:6">
      <c r="A41" s="1235" t="s">
        <v>31</v>
      </c>
      <c r="B41" s="1235" t="s">
        <v>32</v>
      </c>
      <c r="C41" s="1236">
        <v>28</v>
      </c>
      <c r="D41" s="1236">
        <v>756572.65327794198</v>
      </c>
      <c r="E41" s="1236">
        <v>90</v>
      </c>
      <c r="F41" s="1236">
        <v>1334127.7349891099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5</v>
      </c>
      <c r="F44" s="1236">
        <v>31577.034581821299</v>
      </c>
    </row>
    <row r="45" spans="1:6">
      <c r="A45" s="1235" t="s">
        <v>31</v>
      </c>
      <c r="B45" s="1235" t="s">
        <v>36</v>
      </c>
      <c r="C45" s="1236">
        <v>0</v>
      </c>
      <c r="D45" s="1236">
        <v>0</v>
      </c>
      <c r="E45" s="1236">
        <v>3</v>
      </c>
      <c r="F45" s="1236">
        <v>1238880.87088097</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22</v>
      </c>
      <c r="D48" s="1236">
        <v>67995627.019112706</v>
      </c>
      <c r="E48" s="1236">
        <v>33</v>
      </c>
      <c r="F48" s="1236">
        <v>12292618.695178101</v>
      </c>
    </row>
    <row r="49" spans="1:6">
      <c r="A49" s="1235" t="s">
        <v>31</v>
      </c>
      <c r="B49" s="1235" t="s">
        <v>39</v>
      </c>
      <c r="C49" s="1236">
        <v>0</v>
      </c>
      <c r="D49" s="1236">
        <v>0</v>
      </c>
      <c r="E49" s="1236">
        <v>0</v>
      </c>
      <c r="F49" s="1236">
        <v>0</v>
      </c>
    </row>
    <row r="50" spans="1:6">
      <c r="A50" s="1235" t="s">
        <v>31</v>
      </c>
      <c r="B50" s="1235" t="s">
        <v>40</v>
      </c>
      <c r="C50" s="1236">
        <v>8</v>
      </c>
      <c r="D50" s="1236">
        <v>501644.54198389797</v>
      </c>
      <c r="E50" s="1236">
        <v>11</v>
      </c>
      <c r="F50" s="1236">
        <v>284785.20475042402</v>
      </c>
    </row>
    <row r="51" spans="1:6">
      <c r="A51" s="1235" t="s">
        <v>41</v>
      </c>
      <c r="B51" s="1235" t="s">
        <v>42</v>
      </c>
      <c r="C51" s="1236">
        <v>8</v>
      </c>
      <c r="D51" s="1236">
        <v>109246313.497361</v>
      </c>
      <c r="E51" s="1236">
        <v>65</v>
      </c>
      <c r="F51" s="1236">
        <v>1562033.54079437</v>
      </c>
    </row>
    <row r="52" spans="1:6">
      <c r="A52" s="1235" t="s">
        <v>41</v>
      </c>
      <c r="B52" s="1235" t="s">
        <v>28</v>
      </c>
      <c r="C52" s="1236">
        <v>6</v>
      </c>
      <c r="D52" s="1236">
        <v>27889220.9224214</v>
      </c>
      <c r="E52" s="1236">
        <v>5</v>
      </c>
      <c r="F52" s="1236">
        <v>204018.14605588399</v>
      </c>
    </row>
    <row r="53" spans="1:6">
      <c r="A53" s="1235" t="s">
        <v>43</v>
      </c>
      <c r="B53" s="1235" t="s">
        <v>44</v>
      </c>
      <c r="C53" s="1236">
        <v>126</v>
      </c>
      <c r="D53" s="1236">
        <v>2932001.97183744</v>
      </c>
      <c r="E53" s="1236">
        <v>188</v>
      </c>
      <c r="F53" s="1236">
        <v>1065475.8394420799</v>
      </c>
    </row>
    <row r="54" spans="1:6">
      <c r="A54" s="1235" t="s">
        <v>45</v>
      </c>
      <c r="B54" s="1235" t="s">
        <v>46</v>
      </c>
      <c r="C54" s="1236">
        <v>0</v>
      </c>
      <c r="D54" s="1236">
        <v>0</v>
      </c>
      <c r="E54" s="1236">
        <v>1</v>
      </c>
      <c r="F54" s="1236">
        <v>1042669</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15</v>
      </c>
      <c r="D57" s="1236">
        <v>420444.62143116101</v>
      </c>
      <c r="E57" s="1236">
        <v>44</v>
      </c>
      <c r="F57" s="1236">
        <v>15063948.6630162</v>
      </c>
    </row>
    <row r="58" spans="1:6">
      <c r="A58" s="1235" t="s">
        <v>48</v>
      </c>
      <c r="B58" s="1235" t="s">
        <v>50</v>
      </c>
      <c r="C58" s="1236">
        <v>9</v>
      </c>
      <c r="D58" s="1236">
        <v>251188.165372027</v>
      </c>
      <c r="E58" s="1236">
        <v>18</v>
      </c>
      <c r="F58" s="1236">
        <v>125916.127963972</v>
      </c>
    </row>
    <row r="59" spans="1:6">
      <c r="A59" s="1235" t="s">
        <v>48</v>
      </c>
      <c r="B59" s="1235" t="s">
        <v>51</v>
      </c>
      <c r="C59" s="1236">
        <v>41</v>
      </c>
      <c r="D59" s="1236">
        <v>5225712.0904235002</v>
      </c>
      <c r="E59" s="1236">
        <v>116</v>
      </c>
      <c r="F59" s="1236">
        <v>7923109.9186586197</v>
      </c>
    </row>
    <row r="60" spans="1:6">
      <c r="A60" s="1235" t="s">
        <v>48</v>
      </c>
      <c r="B60" s="1235" t="s">
        <v>52</v>
      </c>
      <c r="C60" s="1236">
        <v>37</v>
      </c>
      <c r="D60" s="1236">
        <v>1628431.6088685901</v>
      </c>
      <c r="E60" s="1236">
        <v>50</v>
      </c>
      <c r="F60" s="1236">
        <v>1411689.7019174199</v>
      </c>
    </row>
    <row r="61" spans="1:6">
      <c r="A61" s="1235" t="s">
        <v>48</v>
      </c>
      <c r="B61" s="1235" t="s">
        <v>53</v>
      </c>
      <c r="C61" s="1236">
        <v>109</v>
      </c>
      <c r="D61" s="1236">
        <v>5505950.4663242605</v>
      </c>
      <c r="E61" s="1236">
        <v>255</v>
      </c>
      <c r="F61" s="1236">
        <v>3258038.5959612099</v>
      </c>
    </row>
    <row r="62" spans="1:6">
      <c r="A62" s="1235" t="s">
        <v>48</v>
      </c>
      <c r="B62" s="1235" t="s">
        <v>54</v>
      </c>
      <c r="C62" s="1236">
        <v>7</v>
      </c>
      <c r="D62" s="1236">
        <v>1823390.8881878201</v>
      </c>
      <c r="E62" s="1236">
        <v>12</v>
      </c>
      <c r="F62" s="1236">
        <v>150356.56870210599</v>
      </c>
    </row>
    <row r="63" spans="1:6">
      <c r="A63" s="1235" t="s">
        <v>48</v>
      </c>
      <c r="B63" s="1235" t="s">
        <v>28</v>
      </c>
      <c r="C63" s="1236">
        <v>95</v>
      </c>
      <c r="D63" s="1236">
        <v>11383709.175679101</v>
      </c>
      <c r="E63" s="1236">
        <v>100</v>
      </c>
      <c r="F63" s="1236">
        <v>9527541.7737280503</v>
      </c>
    </row>
    <row r="64" spans="1:6">
      <c r="A64" s="1235" t="s">
        <v>55</v>
      </c>
      <c r="B64" s="1235" t="s">
        <v>56</v>
      </c>
      <c r="C64" s="1236">
        <v>0</v>
      </c>
      <c r="D64" s="1236">
        <v>0</v>
      </c>
      <c r="E64" s="1236">
        <v>0</v>
      </c>
      <c r="F64" s="1236">
        <v>0</v>
      </c>
    </row>
    <row r="65" spans="1:6">
      <c r="A65" s="1235" t="s">
        <v>55</v>
      </c>
      <c r="B65" s="1235" t="s">
        <v>28</v>
      </c>
      <c r="C65" s="1236">
        <v>0</v>
      </c>
      <c r="D65" s="1236">
        <v>0</v>
      </c>
      <c r="E65" s="1236">
        <v>2</v>
      </c>
      <c r="F65" s="1236">
        <v>51018.779148267997</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5</v>
      </c>
      <c r="D68" s="1238">
        <v>153829.64595984801</v>
      </c>
      <c r="E68" s="1238">
        <v>14</v>
      </c>
      <c r="F68" s="1238">
        <v>2831699.0943051898</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111087806</v>
      </c>
      <c r="E73" s="443"/>
      <c r="F73" s="324"/>
    </row>
    <row r="74" spans="1:6">
      <c r="A74" s="1235" t="s">
        <v>63</v>
      </c>
      <c r="B74" s="1235" t="s">
        <v>730</v>
      </c>
      <c r="C74" s="1248" t="s">
        <v>731</v>
      </c>
      <c r="D74" s="1236">
        <v>11597396.174355697</v>
      </c>
      <c r="E74" s="443"/>
      <c r="F74" s="324"/>
    </row>
    <row r="75" spans="1:6">
      <c r="A75" s="1235" t="s">
        <v>64</v>
      </c>
      <c r="B75" s="1235" t="s">
        <v>728</v>
      </c>
      <c r="C75" s="1248" t="s">
        <v>732</v>
      </c>
      <c r="D75" s="1236">
        <v>8270346</v>
      </c>
      <c r="E75" s="443"/>
      <c r="F75" s="324"/>
    </row>
    <row r="76" spans="1:6">
      <c r="A76" s="1235" t="s">
        <v>64</v>
      </c>
      <c r="B76" s="1235" t="s">
        <v>730</v>
      </c>
      <c r="C76" s="1248" t="s">
        <v>733</v>
      </c>
      <c r="D76" s="1236">
        <v>12550.800000000001</v>
      </c>
      <c r="E76" s="443"/>
      <c r="F76" s="324"/>
    </row>
    <row r="77" spans="1:6">
      <c r="A77" s="1235" t="s">
        <v>65</v>
      </c>
      <c r="B77" s="1235" t="s">
        <v>728</v>
      </c>
      <c r="C77" s="1248" t="s">
        <v>734</v>
      </c>
      <c r="D77" s="1236">
        <v>138939976</v>
      </c>
      <c r="E77" s="443"/>
      <c r="F77" s="324"/>
    </row>
    <row r="78" spans="1:6">
      <c r="A78" s="1230" t="s">
        <v>65</v>
      </c>
      <c r="B78" s="1230" t="s">
        <v>730</v>
      </c>
      <c r="C78" s="1230" t="s">
        <v>735</v>
      </c>
      <c r="D78" s="1238">
        <v>16099338</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631301.65128860518</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1057.8214997141301</v>
      </c>
      <c r="C91" s="324"/>
      <c r="D91" s="324"/>
      <c r="E91" s="324"/>
      <c r="F91" s="324"/>
    </row>
    <row r="92" spans="1:6">
      <c r="A92" s="1230" t="s">
        <v>68</v>
      </c>
      <c r="B92" s="1231">
        <v>480.39882496633027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3577</v>
      </c>
      <c r="C97" s="324"/>
      <c r="D97" s="324"/>
      <c r="E97" s="324"/>
      <c r="F97" s="324"/>
    </row>
    <row r="98" spans="1:6">
      <c r="A98" s="1235" t="s">
        <v>71</v>
      </c>
      <c r="B98" s="1236">
        <v>8</v>
      </c>
      <c r="C98" s="324"/>
      <c r="D98" s="324"/>
      <c r="E98" s="324"/>
      <c r="F98" s="324"/>
    </row>
    <row r="99" spans="1:6">
      <c r="A99" s="1235" t="s">
        <v>72</v>
      </c>
      <c r="B99" s="1236">
        <v>24</v>
      </c>
      <c r="C99" s="324"/>
      <c r="D99" s="324"/>
      <c r="E99" s="324"/>
      <c r="F99" s="324"/>
    </row>
    <row r="100" spans="1:6">
      <c r="A100" s="1235" t="s">
        <v>73</v>
      </c>
      <c r="B100" s="1236">
        <v>607</v>
      </c>
      <c r="C100" s="324"/>
      <c r="D100" s="324"/>
      <c r="E100" s="324"/>
      <c r="F100" s="324"/>
    </row>
    <row r="101" spans="1:6">
      <c r="A101" s="1235" t="s">
        <v>74</v>
      </c>
      <c r="B101" s="1236">
        <v>38</v>
      </c>
      <c r="C101" s="324"/>
      <c r="D101" s="324"/>
      <c r="E101" s="324"/>
      <c r="F101" s="324"/>
    </row>
    <row r="102" spans="1:6">
      <c r="A102" s="1235" t="s">
        <v>75</v>
      </c>
      <c r="B102" s="1236">
        <v>92</v>
      </c>
      <c r="C102" s="324"/>
      <c r="D102" s="324"/>
      <c r="E102" s="324"/>
      <c r="F102" s="324"/>
    </row>
    <row r="103" spans="1:6">
      <c r="A103" s="1235" t="s">
        <v>76</v>
      </c>
      <c r="B103" s="1236">
        <v>96</v>
      </c>
      <c r="C103" s="324"/>
      <c r="D103" s="324"/>
      <c r="E103" s="324"/>
      <c r="F103" s="324"/>
    </row>
    <row r="104" spans="1:6">
      <c r="A104" s="1235" t="s">
        <v>77</v>
      </c>
      <c r="B104" s="1236">
        <v>1007</v>
      </c>
      <c r="C104" s="324"/>
      <c r="D104" s="324"/>
      <c r="E104" s="324"/>
      <c r="F104" s="324"/>
    </row>
    <row r="105" spans="1:6">
      <c r="A105" s="1230" t="s">
        <v>78</v>
      </c>
      <c r="B105" s="123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8</v>
      </c>
      <c r="C123" s="1236">
        <v>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28</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85475.221660158233</v>
      </c>
      <c r="C3" s="43" t="s">
        <v>163</v>
      </c>
      <c r="D3" s="43"/>
      <c r="E3" s="155"/>
      <c r="F3" s="43"/>
      <c r="G3" s="43"/>
      <c r="H3" s="43"/>
      <c r="I3" s="43"/>
      <c r="J3" s="43"/>
      <c r="K3" s="96"/>
    </row>
    <row r="4" spans="1:11">
      <c r="A4" s="350" t="s">
        <v>164</v>
      </c>
      <c r="B4" s="49">
        <f>IF(ISERROR('SEAP template'!B78+'SEAP template'!C78),0,'SEAP template'!B78+'SEAP template'!C78)</f>
        <v>45314.220324680464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10403.237647058822</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0.22554862763445357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14861.768067226891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62537.142857142855</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0.23764705882352941</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1042.6690000000001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1042.6690000000001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0.22554862763445357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235.17256202698809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27887.116060184799</v>
      </c>
      <c r="C5" s="17">
        <f>IF(ISERROR('Eigen informatie GS &amp; warmtenet'!B57),0,'Eigen informatie GS &amp; warmtenet'!B57)</f>
        <v>0</v>
      </c>
      <c r="D5" s="30">
        <f>(SUM(HH_hh_gas_kWh,HH_rest_gas_kWh)/1000)*0.902</f>
        <v>70030.629734611372</v>
      </c>
      <c r="E5" s="17">
        <f>B32*B41</f>
        <v>808.2771763927849</v>
      </c>
      <c r="F5" s="17">
        <f>B36*B45</f>
        <v>27590.052926972177</v>
      </c>
      <c r="G5" s="18"/>
      <c r="H5" s="17"/>
      <c r="I5" s="17"/>
      <c r="J5" s="17">
        <f>B35*B44+C35*C44</f>
        <v>621.25804320784982</v>
      </c>
      <c r="K5" s="17"/>
      <c r="L5" s="17"/>
      <c r="M5" s="17"/>
      <c r="N5" s="17">
        <f>B34*B43+C34*C43</f>
        <v>6875.5200976368942</v>
      </c>
      <c r="O5" s="17">
        <f>B52*B53*B54</f>
        <v>46.9</v>
      </c>
      <c r="P5" s="17">
        <f>B60*B61*B62/1000-B60*B61*B62/1000/B63</f>
        <v>190.66666666666669</v>
      </c>
    </row>
    <row r="6" spans="1:16">
      <c r="A6" s="16" t="s">
        <v>591</v>
      </c>
      <c r="B6" s="727">
        <f>kWh_PV_kleiner_dan_10kW</f>
        <v>1057.8214997141301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28944.937559898928</v>
      </c>
      <c r="C8" s="21">
        <f>C5</f>
        <v>0</v>
      </c>
      <c r="D8" s="21">
        <f>D5</f>
        <v>70030.629734611372</v>
      </c>
      <c r="E8" s="21">
        <f>E5</f>
        <v>808.2771763927849</v>
      </c>
      <c r="F8" s="21">
        <f>F5</f>
        <v>27590.052926972177</v>
      </c>
      <c r="G8" s="21"/>
      <c r="H8" s="21"/>
      <c r="I8" s="21"/>
      <c r="J8" s="21">
        <f>J5</f>
        <v>621.25804320784982</v>
      </c>
      <c r="K8" s="21"/>
      <c r="L8" s="21">
        <f>L5</f>
        <v>0</v>
      </c>
      <c r="M8" s="21">
        <f>M5</f>
        <v>0</v>
      </c>
      <c r="N8" s="21">
        <f>N5</f>
        <v>6875.5200976368942</v>
      </c>
      <c r="O8" s="21">
        <f>O5</f>
        <v>46.9</v>
      </c>
      <c r="P8" s="21">
        <f>P5</f>
        <v>190.66666666666669</v>
      </c>
    </row>
    <row r="9" spans="1:16">
      <c r="B9" s="19"/>
      <c r="C9" s="19"/>
      <c r="D9" s="255"/>
      <c r="E9" s="19"/>
      <c r="F9" s="19"/>
      <c r="G9" s="19"/>
      <c r="H9" s="19"/>
      <c r="I9" s="19"/>
      <c r="J9" s="19"/>
      <c r="K9" s="19"/>
      <c r="L9" s="19"/>
      <c r="M9" s="19"/>
      <c r="N9" s="19"/>
      <c r="O9" s="19"/>
      <c r="P9" s="19"/>
    </row>
    <row r="10" spans="1:16">
      <c r="A10" s="24" t="s">
        <v>207</v>
      </c>
      <c r="B10" s="25">
        <f ca="1">'EF ele_warmte'!B12</f>
        <v>0.22554862763445357</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6528.4909436001526</v>
      </c>
      <c r="C12" s="23">
        <f ca="1">C10*C8</f>
        <v>0</v>
      </c>
      <c r="D12" s="23">
        <f>D8*D10</f>
        <v>14146.187206391498</v>
      </c>
      <c r="E12" s="23">
        <f>E10*E8</f>
        <v>183.47891904116219</v>
      </c>
      <c r="F12" s="23">
        <f>F10*F8</f>
        <v>7366.5441315015714</v>
      </c>
      <c r="G12" s="23"/>
      <c r="H12" s="23"/>
      <c r="I12" s="23"/>
      <c r="J12" s="23">
        <f>J10*J8</f>
        <v>219.92534729557883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5932</v>
      </c>
      <c r="C26" s="36"/>
      <c r="D26" s="225"/>
    </row>
    <row r="27" spans="1:5" s="15" customFormat="1">
      <c r="A27" s="227" t="s">
        <v>671</v>
      </c>
      <c r="B27" s="37">
        <f>SUM(HH_hh_gas_aantal,HH_rest_gas_aantal)</f>
        <v>4471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4247.45</v>
      </c>
      <c r="C31" s="34" t="s">
        <v>104</v>
      </c>
      <c r="D31" s="171"/>
    </row>
    <row r="32" spans="1:5">
      <c r="A32" s="168" t="s">
        <v>72</v>
      </c>
      <c r="B32" s="33">
        <f>IF((B21*($B$26-($B$27-0.05*$B$27)-$B$60))&lt;0,0,B21*($B$26-($B$27-0.05*$B$27)-$B$60))</f>
        <v>11.871837185064331</v>
      </c>
      <c r="C32" s="34" t="s">
        <v>104</v>
      </c>
      <c r="D32" s="171"/>
    </row>
    <row r="33" spans="1:6">
      <c r="A33" s="168" t="s">
        <v>73</v>
      </c>
      <c r="B33" s="33">
        <f>IF((B22*($B$26-($B$27-0.05*$B$27)-$B$60))&lt;0,0,B22*($B$26-($B$27-0.05*$B$27)-$B$60))</f>
        <v>340.24523850800023</v>
      </c>
      <c r="C33" s="34" t="s">
        <v>104</v>
      </c>
      <c r="D33" s="171"/>
    </row>
    <row r="34" spans="1:6">
      <c r="A34" s="168" t="s">
        <v>74</v>
      </c>
      <c r="B34" s="33">
        <f>IF((B24*($B$26-($B$27-0.05*$B$27)-$B$60))&lt;0,0,B24*($B$26-($B$27-0.05*$B$27)-$B$60))</f>
        <v>67.848496378749445</v>
      </c>
      <c r="C34" s="33">
        <f>B26*C24</f>
        <v>1212.9612105783553</v>
      </c>
      <c r="D34" s="230"/>
    </row>
    <row r="35" spans="1:6">
      <c r="A35" s="168" t="s">
        <v>76</v>
      </c>
      <c r="B35" s="33">
        <f>IF((B19*($B$26-($B$27-0.05*$B$27)-$B$60))&lt;0,0,B19*($B$26-($B$27-0.05*$B$27)-$B$60))</f>
        <v>35.33284876507242</v>
      </c>
      <c r="C35" s="33">
        <f>B35/2</f>
        <v>17.66642438253621</v>
      </c>
      <c r="D35" s="230"/>
    </row>
    <row r="36" spans="1:6">
      <c r="A36" s="168" t="s">
        <v>77</v>
      </c>
      <c r="B36" s="33">
        <f>IF((B18*($B$26-($B$27-0.05*$B$27)-$B$60))&lt;0,0,B18*($B$26-($B$27-0.05*$B$27)-$B$60))</f>
        <v>1219.2515791631138</v>
      </c>
      <c r="C36" s="34" t="s">
        <v>104</v>
      </c>
      <c r="D36" s="171"/>
    </row>
    <row r="37" spans="1:6">
      <c r="A37" s="168" t="s">
        <v>78</v>
      </c>
      <c r="B37" s="33">
        <f>B60</f>
        <v>10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37460.601349947581</v>
      </c>
      <c r="C5" s="17">
        <f>IF(ISERROR('Eigen informatie GS &amp; warmtenet'!B58),0,'Eigen informatie GS &amp; warmtenet'!B58)</f>
        <v>0</v>
      </c>
      <c r="D5" s="30">
        <f>SUM(D6:D12)</f>
        <v>23667.421968690389</v>
      </c>
      <c r="E5" s="17">
        <f>SUM(E6:E12)</f>
        <v>526.22392855159239</v>
      </c>
      <c r="F5" s="17">
        <f>SUM(F6:F12)</f>
        <v>8017.1218298335871</v>
      </c>
      <c r="G5" s="18"/>
      <c r="H5" s="17"/>
      <c r="I5" s="17"/>
      <c r="J5" s="17">
        <f>SUM(J6:J12)</f>
        <v>0</v>
      </c>
      <c r="K5" s="17"/>
      <c r="L5" s="17"/>
      <c r="M5" s="17"/>
      <c r="N5" s="17">
        <f>SUM(N6:N12)</f>
        <v>3470.4364798908205</v>
      </c>
      <c r="O5" s="17">
        <f>B38*B39*B40</f>
        <v>0</v>
      </c>
      <c r="P5" s="17">
        <f>B46*B47*B48/1000-B46*B47*B48/1000/B49</f>
        <v>0</v>
      </c>
      <c r="R5" s="32"/>
    </row>
    <row r="6" spans="1:18">
      <c r="A6" s="32" t="s">
        <v>53</v>
      </c>
      <c r="B6" s="37">
        <f>B26</f>
        <v>3258.0385959612099</v>
      </c>
      <c r="C6" s="33"/>
      <c r="D6" s="37">
        <f>IF(ISERROR(TER_kantoor_gas_kWh/1000),0,TER_kantoor_gas_kWh/1000)*0.902</f>
        <v>4966.367320624483</v>
      </c>
      <c r="E6" s="33">
        <f>$C$26*'E Balans VL '!I12/100/3.6*1000000</f>
        <v>112.70210678268725</v>
      </c>
      <c r="F6" s="33">
        <f>$C$26*('E Balans VL '!L12+'E Balans VL '!N12)/100/3.6*1000000</f>
        <v>497.37418702464902</v>
      </c>
      <c r="G6" s="34"/>
      <c r="H6" s="33"/>
      <c r="I6" s="33"/>
      <c r="J6" s="33">
        <f>$C$26*('E Balans VL '!D12+'E Balans VL '!E12)/100/3.6*1000000</f>
        <v>0</v>
      </c>
      <c r="K6" s="33"/>
      <c r="L6" s="33"/>
      <c r="M6" s="33"/>
      <c r="N6" s="33">
        <f>$C$26*'E Balans VL '!Y12/100/3.6*1000000</f>
        <v>50.224213720592516</v>
      </c>
      <c r="O6" s="33"/>
      <c r="P6" s="33"/>
      <c r="R6" s="32"/>
    </row>
    <row r="7" spans="1:18">
      <c r="A7" s="32" t="s">
        <v>52</v>
      </c>
      <c r="B7" s="37">
        <f t="shared" ref="B7:B12" si="0">B27</f>
        <v>1411.6897019174198</v>
      </c>
      <c r="C7" s="33"/>
      <c r="D7" s="37">
        <f>IF(ISERROR(TER_horeca_gas_kWh/1000),0,TER_horeca_gas_kWh/1000)*0.902</f>
        <v>1468.8453111994684</v>
      </c>
      <c r="E7" s="33">
        <f>$C$27*'E Balans VL '!I9/100/3.6*1000000</f>
        <v>77.365081496956392</v>
      </c>
      <c r="F7" s="33">
        <f>$C$27*('E Balans VL '!L9+'E Balans VL '!N9)/100/3.6*1000000</f>
        <v>238.90511837238358</v>
      </c>
      <c r="G7" s="34"/>
      <c r="H7" s="33"/>
      <c r="I7" s="33"/>
      <c r="J7" s="33">
        <f>$C$27*('E Balans VL '!D9+'E Balans VL '!E9)/100/3.6*1000000</f>
        <v>0</v>
      </c>
      <c r="K7" s="33"/>
      <c r="L7" s="33"/>
      <c r="M7" s="33"/>
      <c r="N7" s="33">
        <f>$C$27*'E Balans VL '!Y9/100/3.6*1000000</f>
        <v>0</v>
      </c>
      <c r="O7" s="33"/>
      <c r="P7" s="33"/>
      <c r="R7" s="32"/>
    </row>
    <row r="8" spans="1:18">
      <c r="A8" s="6" t="s">
        <v>51</v>
      </c>
      <c r="B8" s="37">
        <f t="shared" si="0"/>
        <v>7923.1099186586198</v>
      </c>
      <c r="C8" s="33"/>
      <c r="D8" s="37">
        <f>IF(ISERROR(TER_handel_gas_kWh/1000),0,TER_handel_gas_kWh/1000)*0.902</f>
        <v>4713.5923055619969</v>
      </c>
      <c r="E8" s="33">
        <f>$C$28*'E Balans VL '!I13/100/3.6*1000000</f>
        <v>40.084365945109219</v>
      </c>
      <c r="F8" s="33">
        <f>$C$28*('E Balans VL '!L13+'E Balans VL '!N13)/100/3.6*1000000</f>
        <v>1203.8545837431095</v>
      </c>
      <c r="G8" s="34"/>
      <c r="H8" s="33"/>
      <c r="I8" s="33"/>
      <c r="J8" s="33">
        <f>$C$28*('E Balans VL '!D13+'E Balans VL '!E13)/100/3.6*1000000</f>
        <v>0</v>
      </c>
      <c r="K8" s="33"/>
      <c r="L8" s="33"/>
      <c r="M8" s="33"/>
      <c r="N8" s="33">
        <f>$C$28*'E Balans VL '!Y13/100/3.6*1000000</f>
        <v>3.7050582939303367</v>
      </c>
      <c r="O8" s="33"/>
      <c r="P8" s="33"/>
      <c r="R8" s="32"/>
    </row>
    <row r="9" spans="1:18">
      <c r="A9" s="32" t="s">
        <v>50</v>
      </c>
      <c r="B9" s="37">
        <f t="shared" si="0"/>
        <v>125.916127963972</v>
      </c>
      <c r="C9" s="33"/>
      <c r="D9" s="37">
        <f>IF(ISERROR(TER_gezond_gas_kWh/1000),0,TER_gezond_gas_kWh/1000)*0.902</f>
        <v>226.57172516556835</v>
      </c>
      <c r="E9" s="33">
        <f>$C$29*'E Balans VL '!I10/100/3.6*1000000</f>
        <v>4.5788853364071139E-2</v>
      </c>
      <c r="F9" s="33">
        <f>$C$29*('E Balans VL '!L10+'E Balans VL '!N10)/100/3.6*1000000</f>
        <v>27.20707272772551</v>
      </c>
      <c r="G9" s="34"/>
      <c r="H9" s="33"/>
      <c r="I9" s="33"/>
      <c r="J9" s="33">
        <f>$C$29*('E Balans VL '!D10+'E Balans VL '!E10)/100/3.6*1000000</f>
        <v>0</v>
      </c>
      <c r="K9" s="33"/>
      <c r="L9" s="33"/>
      <c r="M9" s="33"/>
      <c r="N9" s="33">
        <f>$C$29*'E Balans VL '!Y10/100/3.6*1000000</f>
        <v>0.95473058034779124</v>
      </c>
      <c r="O9" s="33"/>
      <c r="P9" s="33"/>
      <c r="R9" s="32"/>
    </row>
    <row r="10" spans="1:18">
      <c r="A10" s="32" t="s">
        <v>49</v>
      </c>
      <c r="B10" s="37">
        <f t="shared" si="0"/>
        <v>15063.948663016201</v>
      </c>
      <c r="C10" s="33"/>
      <c r="D10" s="37">
        <f>IF(ISERROR(TER_ander_gas_kWh/1000),0,TER_ander_gas_kWh/1000)*0.902</f>
        <v>379.24104853090722</v>
      </c>
      <c r="E10" s="33">
        <f>$C$30*'E Balans VL '!I14/100/3.6*1000000</f>
        <v>91.704027812538271</v>
      </c>
      <c r="F10" s="33">
        <f>$C$30*('E Balans VL '!L14+'E Balans VL '!N14)/100/3.6*1000000</f>
        <v>3988.1717776653813</v>
      </c>
      <c r="G10" s="34"/>
      <c r="H10" s="33"/>
      <c r="I10" s="33"/>
      <c r="J10" s="33">
        <f>$C$30*('E Balans VL '!D14+'E Balans VL '!E14)/100/3.6*1000000</f>
        <v>0</v>
      </c>
      <c r="K10" s="33"/>
      <c r="L10" s="33"/>
      <c r="M10" s="33"/>
      <c r="N10" s="33">
        <f>$C$30*'E Balans VL '!Y14/100/3.6*1000000</f>
        <v>3137.4298419979204</v>
      </c>
      <c r="O10" s="33"/>
      <c r="P10" s="33"/>
      <c r="R10" s="32"/>
    </row>
    <row r="11" spans="1:18">
      <c r="A11" s="32" t="s">
        <v>54</v>
      </c>
      <c r="B11" s="37">
        <f t="shared" si="0"/>
        <v>150.35656870210599</v>
      </c>
      <c r="C11" s="33"/>
      <c r="D11" s="37">
        <f>IF(ISERROR(TER_onderwijs_gas_kWh/1000),0,TER_onderwijs_gas_kWh/1000)*0.902</f>
        <v>1644.6985811454138</v>
      </c>
      <c r="E11" s="33">
        <f>$C$31*'E Balans VL '!I11/100/3.6*1000000</f>
        <v>0.18660551962650973</v>
      </c>
      <c r="F11" s="33">
        <f>$C$31*('E Balans VL '!L11+'E Balans VL '!N11)/100/3.6*1000000</f>
        <v>177.20308838244978</v>
      </c>
      <c r="G11" s="34"/>
      <c r="H11" s="33"/>
      <c r="I11" s="33"/>
      <c r="J11" s="33">
        <f>$C$31*('E Balans VL '!D11+'E Balans VL '!E11)/100/3.6*1000000</f>
        <v>0</v>
      </c>
      <c r="K11" s="33"/>
      <c r="L11" s="33"/>
      <c r="M11" s="33"/>
      <c r="N11" s="33">
        <f>$C$31*'E Balans VL '!Y11/100/3.6*1000000</f>
        <v>0.7216974869563102</v>
      </c>
      <c r="O11" s="33"/>
      <c r="P11" s="33"/>
      <c r="R11" s="32"/>
    </row>
    <row r="12" spans="1:18">
      <c r="A12" s="32" t="s">
        <v>249</v>
      </c>
      <c r="B12" s="37">
        <f t="shared" si="0"/>
        <v>9527.5417737280495</v>
      </c>
      <c r="C12" s="33"/>
      <c r="D12" s="37">
        <f>IF(ISERROR(TER_rest_gas_kWh/1000),0,TER_rest_gas_kWh/1000)*0.902</f>
        <v>10268.10567646255</v>
      </c>
      <c r="E12" s="33">
        <f>$C$32*'E Balans VL '!I8/100/3.6*1000000</f>
        <v>204.13595214131075</v>
      </c>
      <c r="F12" s="33">
        <f>$C$32*('E Balans VL '!L8+'E Balans VL '!N8)/100/3.6*1000000</f>
        <v>1884.406001917888</v>
      </c>
      <c r="G12" s="34"/>
      <c r="H12" s="33"/>
      <c r="I12" s="33"/>
      <c r="J12" s="33">
        <f>$C$32*('E Balans VL '!D8+'E Balans VL '!E8)/100/3.6*1000000</f>
        <v>0</v>
      </c>
      <c r="K12" s="33"/>
      <c r="L12" s="33"/>
      <c r="M12" s="33"/>
      <c r="N12" s="33">
        <f>$C$32*'E Balans VL '!Y8/100/3.6*1000000</f>
        <v>277.40093781107322</v>
      </c>
      <c r="O12" s="33"/>
      <c r="P12" s="33"/>
      <c r="R12" s="32"/>
    </row>
    <row r="13" spans="1:18">
      <c r="A13" s="16" t="s">
        <v>483</v>
      </c>
      <c r="B13" s="243">
        <f ca="1">'lokale energieproductie'!N42+'lokale energieproductie'!N35</f>
        <v>0</v>
      </c>
      <c r="C13" s="243">
        <f ca="1">'lokale energieproductie'!O42+'lokale energieproductie'!O35</f>
        <v>0</v>
      </c>
      <c r="D13" s="302">
        <f ca="1">('lokale energieproductie'!P35+'lokale energieproductie'!P42)*(-1)</f>
        <v>0</v>
      </c>
      <c r="E13" s="244"/>
      <c r="F13" s="302">
        <f ca="1">('lokale energieproductie'!S35+'lokale energieproductie'!S42)*(-1)</f>
        <v>0</v>
      </c>
      <c r="G13" s="245"/>
      <c r="H13" s="244"/>
      <c r="I13" s="244"/>
      <c r="J13" s="244"/>
      <c r="K13" s="244"/>
      <c r="L13" s="302">
        <f ca="1">('lokale energieproductie'!U35+'lokale energieproductie'!T35+'lokale energieproductie'!U42+'lokale energieproductie'!T42)*(-1)</f>
        <v>0</v>
      </c>
      <c r="M13" s="244"/>
      <c r="N13" s="302">
        <f ca="1">('lokale energieproductie'!Q35+'lokale energieproductie'!R35+'lokale energieproductie'!V35+'lokale energieproductie'!Q42+'lokale energieproductie'!R42+'lokale energieproductie'!V42)*(-1)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37460.601349947581</v>
      </c>
      <c r="C16" s="21">
        <f ca="1">C5+C13+C14</f>
        <v>0</v>
      </c>
      <c r="D16" s="21">
        <f t="shared" ref="D16:N16" ca="1" si="1">MAX((D5+D13+D14),0)</f>
        <v>23667.421968690389</v>
      </c>
      <c r="E16" s="21">
        <f t="shared" si="1"/>
        <v>526.22392855159239</v>
      </c>
      <c r="F16" s="21">
        <f t="shared" ca="1" si="1"/>
        <v>8017.1218298335871</v>
      </c>
      <c r="G16" s="21">
        <f t="shared" si="1"/>
        <v>0</v>
      </c>
      <c r="H16" s="21">
        <f t="shared" si="1"/>
        <v>0</v>
      </c>
      <c r="I16" s="21">
        <f t="shared" si="1"/>
        <v>0</v>
      </c>
      <c r="J16" s="21">
        <f t="shared" si="1"/>
        <v>0</v>
      </c>
      <c r="K16" s="21">
        <f t="shared" si="1"/>
        <v>0</v>
      </c>
      <c r="L16" s="21">
        <f t="shared" ca="1" si="1"/>
        <v>0</v>
      </c>
      <c r="M16" s="21">
        <f t="shared" si="1"/>
        <v>0</v>
      </c>
      <c r="N16" s="21">
        <f t="shared" ca="1" si="1"/>
        <v>3470.4364798908205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0.22554862763445357</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8449.187224842035</v>
      </c>
      <c r="C20" s="23">
        <f t="shared" ref="C20:P20" ca="1" si="2">C16*C18</f>
        <v>0</v>
      </c>
      <c r="D20" s="23">
        <f t="shared" ca="1" si="2"/>
        <v>4780.8192376754587</v>
      </c>
      <c r="E20" s="23">
        <f t="shared" si="2"/>
        <v>119.45283178121147</v>
      </c>
      <c r="F20" s="23">
        <f t="shared" ca="1" si="2"/>
        <v>2140.5715285655679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3258.0385959612099</v>
      </c>
      <c r="C26" s="39">
        <f>IF(ISERROR(B26*3.6/1000000/'E Balans VL '!Z12*100),0,B26*3.6/1000000/'E Balans VL '!Z12*100)</f>
        <v>6.7753211739926822E-2</v>
      </c>
      <c r="D26" s="233" t="s">
        <v>676</v>
      </c>
      <c r="F26" s="6"/>
    </row>
    <row r="27" spans="1:18">
      <c r="A27" s="228" t="s">
        <v>52</v>
      </c>
      <c r="B27" s="33">
        <f>IF(ISERROR(TER_horeca_ele_kWh/1000),0,TER_horeca_ele_kWh/1000)</f>
        <v>1411.6897019174198</v>
      </c>
      <c r="C27" s="39">
        <f>IF(ISERROR(B27*3.6/1000000/'E Balans VL '!Z9*100),0,B27*3.6/1000000/'E Balans VL '!Z9*100)</f>
        <v>0.11611247978816072</v>
      </c>
      <c r="D27" s="233" t="s">
        <v>676</v>
      </c>
      <c r="F27" s="6"/>
    </row>
    <row r="28" spans="1:18">
      <c r="A28" s="168" t="s">
        <v>51</v>
      </c>
      <c r="B28" s="33">
        <f>IF(ISERROR(TER_handel_ele_kWh/1000),0,TER_handel_ele_kWh/1000)</f>
        <v>7923.1099186586198</v>
      </c>
      <c r="C28" s="39">
        <f>IF(ISERROR(B28*3.6/1000000/'E Balans VL '!Z13*100),0,B28*3.6/1000000/'E Balans VL '!Z13*100)</f>
        <v>0.21931013362201335</v>
      </c>
      <c r="D28" s="233" t="s">
        <v>676</v>
      </c>
      <c r="F28" s="6"/>
    </row>
    <row r="29" spans="1:18">
      <c r="A29" s="228" t="s">
        <v>50</v>
      </c>
      <c r="B29" s="33">
        <f>IF(ISERROR(TER_gezond_ele_kWh/1000),0,TER_gezond_ele_kWh/1000)</f>
        <v>125.916127963972</v>
      </c>
      <c r="C29" s="39">
        <f>IF(ISERROR(B29*3.6/1000000/'E Balans VL '!Z10*100),0,B29*3.6/1000000/'E Balans VL '!Z10*100)</f>
        <v>1.4359820447964853E-2</v>
      </c>
      <c r="D29" s="233" t="s">
        <v>676</v>
      </c>
      <c r="F29" s="6"/>
    </row>
    <row r="30" spans="1:18">
      <c r="A30" s="228" t="s">
        <v>49</v>
      </c>
      <c r="B30" s="33">
        <f>IF(ISERROR(TER_ander_ele_kWh/1000),0,TER_ander_ele_kWh/1000)</f>
        <v>15063.948663016201</v>
      </c>
      <c r="C30" s="39">
        <f>IF(ISERROR(B30*3.6/1000000/'E Balans VL '!Z14*100),0,B30*3.6/1000000/'E Balans VL '!Z14*100)</f>
        <v>1.1659904878641758</v>
      </c>
      <c r="D30" s="233" t="s">
        <v>676</v>
      </c>
      <c r="F30" s="6"/>
    </row>
    <row r="31" spans="1:18">
      <c r="A31" s="228" t="s">
        <v>54</v>
      </c>
      <c r="B31" s="33">
        <f>IF(ISERROR(TER_onderwijs_ele_kWh/1000),0,TER_onderwijs_ele_kWh/1000)</f>
        <v>150.35656870210599</v>
      </c>
      <c r="C31" s="39">
        <f>IF(ISERROR(B31*3.6/1000000/'E Balans VL '!Z11*100),0,B31*3.6/1000000/'E Balans VL '!Z11*100)</f>
        <v>4.6848262704077263E-2</v>
      </c>
      <c r="D31" s="233" t="s">
        <v>676</v>
      </c>
    </row>
    <row r="32" spans="1:18">
      <c r="A32" s="228" t="s">
        <v>249</v>
      </c>
      <c r="B32" s="33">
        <f>IF(ISERROR(TER_rest_ele_kWh/1000),0,TER_rest_ele_kWh/1000)</f>
        <v>9527.5417737280495</v>
      </c>
      <c r="C32" s="39">
        <f>IF(ISERROR(B32*3.6/1000000/'E Balans VL '!Z8*100),0,B32*3.6/1000000/'E Balans VL '!Z8*100)</f>
        <v>7.8564868814457275E-2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15181.989540380426</v>
      </c>
      <c r="C5" s="17">
        <f>IF(ISERROR('Eigen informatie GS &amp; warmtenet'!B59),0,'Eigen informatie GS &amp; warmtenet'!B59)</f>
        <v>0</v>
      </c>
      <c r="D5" s="30">
        <f>SUM(D6:D15)</f>
        <v>62466.967481365849</v>
      </c>
      <c r="E5" s="17">
        <f>SUM(E6:E15)</f>
        <v>166.89470619397514</v>
      </c>
      <c r="F5" s="17">
        <f>SUM(F6:F15)</f>
        <v>3681.392951577041</v>
      </c>
      <c r="G5" s="18"/>
      <c r="H5" s="17"/>
      <c r="I5" s="17"/>
      <c r="J5" s="17">
        <f>SUM(J6:J15)</f>
        <v>91.752862707985813</v>
      </c>
      <c r="K5" s="17"/>
      <c r="L5" s="17"/>
      <c r="M5" s="17"/>
      <c r="N5" s="17">
        <f>SUM(N6:N15)</f>
        <v>324.38101262952483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31.577034581821298</v>
      </c>
      <c r="C8" s="33"/>
      <c r="D8" s="37">
        <f>IF( ISERROR(IND_metaal_Gas_kWH/1000),0,IND_metaal_Gas_kWH/1000)*0.902</f>
        <v>0</v>
      </c>
      <c r="E8" s="33">
        <f>C30*'E Balans VL '!I18/100/3.6*1000000</f>
        <v>0.22188485484980983</v>
      </c>
      <c r="F8" s="33">
        <f>C30*'E Balans VL '!L18/100/3.6*1000000+C30*'E Balans VL '!N18/100/3.6*1000000</f>
        <v>3.4669736532476092</v>
      </c>
      <c r="G8" s="34"/>
      <c r="H8" s="33"/>
      <c r="I8" s="33"/>
      <c r="J8" s="40">
        <f>C30*'E Balans VL '!D18/100/3.6*1000000+C30*'E Balans VL '!E18/100/3.6*1000000</f>
        <v>0.65150228430350809</v>
      </c>
      <c r="K8" s="33"/>
      <c r="L8" s="33"/>
      <c r="M8" s="33"/>
      <c r="N8" s="33">
        <f>C30*'E Balans VL '!Y18/100/3.6*1000000</f>
        <v>0.11835299978825749</v>
      </c>
      <c r="O8" s="33"/>
      <c r="P8" s="33"/>
      <c r="R8" s="32"/>
    </row>
    <row r="9" spans="1:18">
      <c r="A9" s="6" t="s">
        <v>32</v>
      </c>
      <c r="B9" s="37">
        <f t="shared" si="0"/>
        <v>1334.12773498911</v>
      </c>
      <c r="C9" s="33"/>
      <c r="D9" s="37">
        <f>IF( ISERROR(IND_andere_gas_kWh/1000),0,IND_andere_gas_kWh/1000)*0.902</f>
        <v>682.42853325670364</v>
      </c>
      <c r="E9" s="33">
        <f>C31*'E Balans VL '!I19/100/3.6*1000000</f>
        <v>22.408309667799632</v>
      </c>
      <c r="F9" s="33">
        <f>C31*'E Balans VL '!L19/100/3.6*1000000+C31*'E Balans VL '!N19/100/3.6*1000000</f>
        <v>1042.9450769724099</v>
      </c>
      <c r="G9" s="34"/>
      <c r="H9" s="33"/>
      <c r="I9" s="33"/>
      <c r="J9" s="40">
        <f>C31*'E Balans VL '!D19/100/3.6*1000000+C31*'E Balans VL '!E19/100/3.6*1000000</f>
        <v>0.1203265448369769</v>
      </c>
      <c r="K9" s="33"/>
      <c r="L9" s="33"/>
      <c r="M9" s="33"/>
      <c r="N9" s="33">
        <f>C31*'E Balans VL '!Y19/100/3.6*1000000</f>
        <v>98.880269357834095</v>
      </c>
      <c r="O9" s="33"/>
      <c r="P9" s="33"/>
      <c r="R9" s="32"/>
    </row>
    <row r="10" spans="1:18">
      <c r="A10" s="6" t="s">
        <v>40</v>
      </c>
      <c r="B10" s="37">
        <f t="shared" si="0"/>
        <v>284.78520475042404</v>
      </c>
      <c r="C10" s="33"/>
      <c r="D10" s="37">
        <f>IF( ISERROR(IND_voed_gas_kWh/1000),0,IND_voed_gas_kWh/1000)*0.902</f>
        <v>452.48337686947599</v>
      </c>
      <c r="E10" s="33">
        <f>C32*'E Balans VL '!I20/100/3.6*1000000</f>
        <v>2.5982618656567249</v>
      </c>
      <c r="F10" s="33">
        <f>C32*'E Balans VL '!L20/100/3.6*1000000+C32*'E Balans VL '!N20/100/3.6*1000000</f>
        <v>45.944761086159446</v>
      </c>
      <c r="G10" s="34"/>
      <c r="H10" s="33"/>
      <c r="I10" s="33"/>
      <c r="J10" s="40">
        <f>C32*'E Balans VL '!D20/100/3.6*1000000+C32*'E Balans VL '!E20/100/3.6*1000000</f>
        <v>1.1729321873803975</v>
      </c>
      <c r="K10" s="33"/>
      <c r="L10" s="33"/>
      <c r="M10" s="33"/>
      <c r="N10" s="33">
        <f>C32*'E Balans VL '!Y20/100/3.6*1000000</f>
        <v>4.1661829860622577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1238.88087088097</v>
      </c>
      <c r="C12" s="33"/>
      <c r="D12" s="37">
        <f>IF( ISERROR(IND_min_gas_kWh/1000),0,IND_min_gas_kWh/1000)*0.902</f>
        <v>0</v>
      </c>
      <c r="E12" s="33">
        <f>C34*'E Balans VL '!I22/100/3.6*1000000</f>
        <v>30.728273259417023</v>
      </c>
      <c r="F12" s="33">
        <f>C34*'E Balans VL '!L22/100/3.6*1000000+C34*'E Balans VL '!N22/100/3.6*1000000</f>
        <v>131.64295481080876</v>
      </c>
      <c r="G12" s="34"/>
      <c r="H12" s="33"/>
      <c r="I12" s="33"/>
      <c r="J12" s="40">
        <f>C34*'E Balans VL '!D22/100/3.6*1000000+C34*'E Balans VL '!E22/100/3.6*1000000</f>
        <v>7.0375702750719045</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12292.6186951781</v>
      </c>
      <c r="C15" s="33"/>
      <c r="D15" s="37">
        <f>IF( ISERROR(IND_rest_gas_kWh/1000),0,IND_rest_gas_kWh/1000)*0.902</f>
        <v>61332.055571239667</v>
      </c>
      <c r="E15" s="33">
        <f>C37*'E Balans VL '!I15/100/3.6*1000000</f>
        <v>110.93797654625193</v>
      </c>
      <c r="F15" s="33">
        <f>C37*'E Balans VL '!L15/100/3.6*1000000+C37*'E Balans VL '!N15/100/3.6*1000000</f>
        <v>2457.3931850544154</v>
      </c>
      <c r="G15" s="34"/>
      <c r="H15" s="33"/>
      <c r="I15" s="33"/>
      <c r="J15" s="40">
        <f>C37*'E Balans VL '!D15/100/3.6*1000000+C37*'E Balans VL '!E15/100/3.6*1000000</f>
        <v>82.770531416393027</v>
      </c>
      <c r="K15" s="33"/>
      <c r="L15" s="33"/>
      <c r="M15" s="33"/>
      <c r="N15" s="33">
        <f>C37*'E Balans VL '!Y15/100/3.6*1000000</f>
        <v>221.21620728584023</v>
      </c>
      <c r="O15" s="33"/>
      <c r="P15" s="33"/>
      <c r="R15" s="32"/>
    </row>
    <row r="16" spans="1:18">
      <c r="A16" s="16" t="s">
        <v>483</v>
      </c>
      <c r="B16" s="243">
        <f>'lokale energieproductie'!N41+'lokale energieproductie'!N34</f>
        <v>0</v>
      </c>
      <c r="C16" s="243">
        <f>'lokale energieproductie'!O41+'lokale energieproductie'!O34</f>
        <v>0</v>
      </c>
      <c r="D16" s="302">
        <f>('lokale energieproductie'!P34+'lokale energieproductie'!P41)*(-1)</f>
        <v>0</v>
      </c>
      <c r="E16" s="244"/>
      <c r="F16" s="302">
        <f>('lokale energieproductie'!S34+'lokale energieproductie'!S41)*(-1)</f>
        <v>0</v>
      </c>
      <c r="G16" s="245"/>
      <c r="H16" s="244"/>
      <c r="I16" s="244"/>
      <c r="J16" s="244"/>
      <c r="K16" s="244"/>
      <c r="L16" s="302">
        <f>('lokale energieproductie'!T34+'lokale energieproductie'!U34+'lokale energieproductie'!T41+'lokale energieproductie'!U41)*(-1)</f>
        <v>0</v>
      </c>
      <c r="M16" s="244"/>
      <c r="N16" s="302">
        <f>('lokale energieproductie'!Q34+'lokale energieproductie'!R34+'lokale energieproductie'!V34+'lokale energieproductie'!Q41+'lokale energieproductie'!R41+'lokale energieproductie'!V41)*(-1)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15181.989540380426</v>
      </c>
      <c r="C18" s="21">
        <f>C5+C16</f>
        <v>0</v>
      </c>
      <c r="D18" s="21">
        <f>MAX((D5+D16),0)</f>
        <v>62466.967481365849</v>
      </c>
      <c r="E18" s="21">
        <f>MAX((E5+E16),0)</f>
        <v>166.89470619397514</v>
      </c>
      <c r="F18" s="21">
        <f>MAX((F5+F16),0)</f>
        <v>3681.392951577041</v>
      </c>
      <c r="G18" s="21"/>
      <c r="H18" s="21"/>
      <c r="I18" s="21"/>
      <c r="J18" s="21">
        <f>MAX((J5+J16),0)</f>
        <v>91.752862707985813</v>
      </c>
      <c r="K18" s="21"/>
      <c r="L18" s="21">
        <f>MAX((L5+L16),0)</f>
        <v>0</v>
      </c>
      <c r="M18" s="21"/>
      <c r="N18" s="21">
        <f>MAX((N5+N16),0)</f>
        <v>324.38101262952483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0.22554862763445357</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3424.2769055934336</v>
      </c>
      <c r="C22" s="23">
        <f ca="1">C18*C20</f>
        <v>0</v>
      </c>
      <c r="D22" s="23">
        <f>D18*D20</f>
        <v>12618.327431235903</v>
      </c>
      <c r="E22" s="23">
        <f>E18*E20</f>
        <v>37.885098306032361</v>
      </c>
      <c r="F22" s="23">
        <f>F18*F20</f>
        <v>982.93191807106996</v>
      </c>
      <c r="G22" s="23"/>
      <c r="H22" s="23"/>
      <c r="I22" s="23"/>
      <c r="J22" s="23">
        <f>J18*J20</f>
        <v>32.480513398626975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31.577034581821298</v>
      </c>
      <c r="C30" s="39">
        <f>IF(ISERROR(B30*3.6/1000000/'E Balans VL '!Z18*100),0,B30*3.6/1000000/'E Balans VL '!Z18*100)</f>
        <v>2.1021024746650033E-3</v>
      </c>
      <c r="D30" s="233" t="s">
        <v>676</v>
      </c>
    </row>
    <row r="31" spans="1:18">
      <c r="A31" s="6" t="s">
        <v>32</v>
      </c>
      <c r="B31" s="37">
        <f>IF( ISERROR(IND_ander_ele_kWh/1000),0,IND_ander_ele_kWh/1000)</f>
        <v>1334.12773498911</v>
      </c>
      <c r="C31" s="39">
        <f>IF(ISERROR(B31*3.6/1000000/'E Balans VL '!Z19*100),0,B31*3.6/1000000/'E Balans VL '!Z19*100)</f>
        <v>5.9136595414759983E-2</v>
      </c>
      <c r="D31" s="233" t="s">
        <v>676</v>
      </c>
    </row>
    <row r="32" spans="1:18">
      <c r="A32" s="168" t="s">
        <v>40</v>
      </c>
      <c r="B32" s="37">
        <f>IF( ISERROR(IND_voed_ele_kWh/1000),0,IND_voed_ele_kWh/1000)</f>
        <v>284.78520475042404</v>
      </c>
      <c r="C32" s="39">
        <f>IF(ISERROR(B32*3.6/1000000/'E Balans VL '!Z20*100),0,B32*3.6/1000000/'E Balans VL '!Z20*100)</f>
        <v>9.5126427816835026E-3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1238.88087088097</v>
      </c>
      <c r="C34" s="39">
        <f>IF(ISERROR(B34*3.6/1000000/'E Balans VL '!Z22*100),0,B34*3.6/1000000/'E Balans VL '!Z22*100)</f>
        <v>0.24094872105352647</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12292.6186951781</v>
      </c>
      <c r="C37" s="39">
        <f>IF(ISERROR(B37*3.6/1000000/'E Balans VL '!Z15*100),0,B37*3.6/1000000/'E Balans VL '!Z15*100)</f>
        <v>9.143705670322845E-2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1766.0516868502539</v>
      </c>
      <c r="C5" s="17">
        <f>'Eigen informatie GS &amp; warmtenet'!B60</f>
        <v>0</v>
      </c>
      <c r="D5" s="30">
        <f>IF(ISERROR(SUM(LB_lb_gas_kWh,LB_rest_gas_kWh)/1000),0,SUM(LB_lb_gas_kWh,LB_rest_gas_kWh)/1000)*0.902</f>
        <v>123696.25204664373</v>
      </c>
      <c r="E5" s="17">
        <f>B17*'E Balans VL '!I25/3.6*1000000/100</f>
        <v>15.914366620601049</v>
      </c>
      <c r="F5" s="17">
        <f>B17*('E Balans VL '!L25/3.6*1000000+'E Balans VL '!N25/3.6*1000000)/100</f>
        <v>6617.4495334207522</v>
      </c>
      <c r="G5" s="18"/>
      <c r="H5" s="17"/>
      <c r="I5" s="17"/>
      <c r="J5" s="17">
        <f>('E Balans VL '!D25+'E Balans VL '!E25)/3.6*1000000*landbouw!B17/100</f>
        <v>178.71712652342561</v>
      </c>
      <c r="K5" s="17"/>
      <c r="L5" s="17">
        <f>L6*(-1)</f>
        <v>0</v>
      </c>
      <c r="M5" s="17"/>
      <c r="N5" s="17">
        <f>N6*(-1)</f>
        <v>0</v>
      </c>
      <c r="O5" s="17"/>
      <c r="P5" s="17"/>
      <c r="R5" s="32"/>
    </row>
    <row r="6" spans="1:18">
      <c r="A6" s="16" t="s">
        <v>483</v>
      </c>
      <c r="B6" s="17" t="s">
        <v>204</v>
      </c>
      <c r="C6" s="17">
        <f>'lokale energieproductie'!O43+'lokale energieproductie'!O36</f>
        <v>62537.142857142855</v>
      </c>
      <c r="D6" s="302">
        <f>('lokale energieproductie'!P36+'lokale energieproductie'!P43)*(-1)</f>
        <v>-125074.28571428571</v>
      </c>
      <c r="E6" s="244"/>
      <c r="F6" s="302">
        <f>('lokale energieproductie'!S36+'lokale energieproductie'!S43)*(-1)</f>
        <v>0</v>
      </c>
      <c r="G6" s="245"/>
      <c r="H6" s="244"/>
      <c r="I6" s="244"/>
      <c r="J6" s="244"/>
      <c r="K6" s="244"/>
      <c r="L6" s="302">
        <f>('lokale energieproductie'!T36+'lokale energieproductie'!U36+'lokale energieproductie'!T43+'lokale energieproductie'!U43)*(-1)</f>
        <v>0</v>
      </c>
      <c r="M6" s="244"/>
      <c r="N6" s="302">
        <f>('lokale energieproductie'!V36+'lokale energieproductie'!R36+'lokale energieproductie'!Q36+'lokale energieproductie'!Q43+'lokale energieproductie'!R43+'lokale energieproductie'!V43)*(-1)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1766.0516868502539</v>
      </c>
      <c r="C8" s="21">
        <f>C5+C6</f>
        <v>62537.142857142855</v>
      </c>
      <c r="D8" s="21">
        <f>MAX((D5+D6),0)</f>
        <v>0</v>
      </c>
      <c r="E8" s="21">
        <f>MAX((E5+E6),0)</f>
        <v>15.914366620601049</v>
      </c>
      <c r="F8" s="21">
        <f>MAX((F5+F6),0)</f>
        <v>6617.4495334207522</v>
      </c>
      <c r="G8" s="21"/>
      <c r="H8" s="21"/>
      <c r="I8" s="21"/>
      <c r="J8" s="21">
        <f>MAX((J5+J6),0)</f>
        <v>178.71712652342561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0.22554862763445357</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398.33053430058652</v>
      </c>
      <c r="C12" s="23">
        <f ca="1">C8*C10</f>
        <v>14861.768067226891</v>
      </c>
      <c r="D12" s="23">
        <f>D8*D10</f>
        <v>0</v>
      </c>
      <c r="E12" s="23">
        <f>E8*E10</f>
        <v>3.6125612228764381</v>
      </c>
      <c r="F12" s="23">
        <f>F8*F10</f>
        <v>1766.8590254233409</v>
      </c>
      <c r="G12" s="23"/>
      <c r="H12" s="23"/>
      <c r="I12" s="23"/>
      <c r="J12" s="23">
        <f>J8*J10</f>
        <v>63.265862789292662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0.27182944570379186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108.85825712153093</v>
      </c>
      <c r="C26" s="243">
        <f>B26*'GWP N2O_CH4'!B5</f>
        <v>2286.0233995521494</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24.145464146370724</v>
      </c>
      <c r="C27" s="243">
        <f>B27*'GWP N2O_CH4'!B5</f>
        <v>507.05474707378522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1.4108079009152918</v>
      </c>
      <c r="C28" s="243">
        <f>B28*'GWP N2O_CH4'!B4</f>
        <v>437.35044928374049</v>
      </c>
      <c r="D28" s="50"/>
    </row>
    <row r="29" spans="1:4">
      <c r="A29" s="41" t="s">
        <v>266</v>
      </c>
      <c r="B29" s="243">
        <f>B34*'ha_N2O bodem landbouw'!B4</f>
        <v>3.2757909128329872</v>
      </c>
      <c r="C29" s="243">
        <f>B29*'GWP N2O_CH4'!B4</f>
        <v>1015.495182978226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8.5049691620523739E-4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1.0391946293958306E-5</v>
      </c>
      <c r="C5" s="431" t="s">
        <v>204</v>
      </c>
      <c r="D5" s="416">
        <f>SUM(D6:D11)</f>
        <v>3.1472873153328211E-5</v>
      </c>
      <c r="E5" s="416">
        <f>SUM(E6:E11)</f>
        <v>3.6673782311836961E-3</v>
      </c>
      <c r="F5" s="429" t="s">
        <v>204</v>
      </c>
      <c r="G5" s="416">
        <f>SUM(G6:G11)</f>
        <v>0.72283739468051267</v>
      </c>
      <c r="H5" s="416">
        <f>SUM(H6:H11)</f>
        <v>0.11311257892021609</v>
      </c>
      <c r="I5" s="431" t="s">
        <v>204</v>
      </c>
      <c r="J5" s="431" t="s">
        <v>204</v>
      </c>
      <c r="K5" s="431" t="s">
        <v>204</v>
      </c>
      <c r="L5" s="431" t="s">
        <v>204</v>
      </c>
      <c r="M5" s="416">
        <f>SUM(M6:M11)</f>
        <v>3.6345253074102087E-2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4.2215031893602903E-6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1.3325077152973997E-5</v>
      </c>
      <c r="E6" s="419">
        <f>vkm_GW_PW*SUMIFS(TableVerdeelsleutelVkm[LPG],TableVerdeelsleutelVkm[Voertuigtype],"Lichte voertuigen")*SUMIFS(TableECFTransport[EnergieConsumptieFactor (PJ per km)],TableECFTransport[Index],CONCATENATE($A6,"_LPG_LPG"))</f>
        <v>1.3839220254796623E-3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0.18472936157690878</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4.6396055007877739E-2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1.0093370802484755E-2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2.4117436811833902E-7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0.10871550313777464</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3.198883394324772E-6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4.683520838612276E-3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3.1428554828162791E-7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1.6825734902043098E-6</v>
      </c>
      <c r="E8" s="419">
        <f>vkm_NGW_PW*SUMIFS(TableVerdeelsleutelVkm[LPG],TableVerdeelsleutelVkm[Voertuigtype],"Lichte voertuigen")*SUMIFS(TableECFTransport[EnergieConsumptieFactor (PJ per km)],TableECFTransport[Index],CONCATENATE($A8,"_LPG_LPG"))</f>
        <v>1.6447179690280377E-4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2.088460545060139E-2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5.5330972010198499E-3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1.1543528399643615E-3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2.6100093623367258E-10</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1.6296765345317032E-4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4.1785516194679148E-9</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7.0207035184588875E-6</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5.2799274099773124E-6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1.6465222510149905E-5</v>
      </c>
      <c r="E10" s="419">
        <f>vkm_SW_PW*SUMIFS(TableVerdeelsleutelVkm[LPG],TableVerdeelsleutelVkm[Voertuigtype],"Lichte voertuigen")*SUMIFS(TableECFTransport[EnergieConsumptieFactor (PJ per km)],TableECFTransport[Index],CONCATENATE($A10,"_LPG_LPG"))</f>
        <v>2.1189844088012303E-3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0.26272235158514962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6.117565301612983E-2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1.413347659947347E-2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3.3479477728450308E-7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0.14562260527662499</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4.5706332427115365E-6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6.2735112900487635E-3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2.8866517483217518</v>
      </c>
      <c r="C14" s="21"/>
      <c r="D14" s="21">
        <f t="shared" ref="D14:M14" si="0">((D5)*10^9/3600)+D12</f>
        <v>8.7424647648133913</v>
      </c>
      <c r="E14" s="21">
        <f t="shared" si="0"/>
        <v>1018.7161753288044</v>
      </c>
      <c r="F14" s="21"/>
      <c r="G14" s="21">
        <f t="shared" si="0"/>
        <v>200788.16518903131</v>
      </c>
      <c r="H14" s="21">
        <f t="shared" si="0"/>
        <v>31420.160811171136</v>
      </c>
      <c r="I14" s="21"/>
      <c r="J14" s="21"/>
      <c r="K14" s="21"/>
      <c r="L14" s="21"/>
      <c r="M14" s="21">
        <f t="shared" si="0"/>
        <v>10095.903631695024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0.22554862763445357</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0.65108034029256723</v>
      </c>
      <c r="C18" s="23"/>
      <c r="D18" s="23">
        <f t="shared" ref="D18:M18" si="1">D14*D16</f>
        <v>1.7659778824923051</v>
      </c>
      <c r="E18" s="23">
        <f t="shared" si="1"/>
        <v>231.2485717996386</v>
      </c>
      <c r="F18" s="23"/>
      <c r="G18" s="23">
        <f t="shared" si="1"/>
        <v>53610.44010547136</v>
      </c>
      <c r="H18" s="23">
        <f t="shared" si="1"/>
        <v>7823.6200419816132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3.8196114806293959E-5</v>
      </c>
      <c r="C50" s="313">
        <f t="shared" ref="C50:P50" si="2">SUM(C51:C52)</f>
        <v>0</v>
      </c>
      <c r="D50" s="313">
        <f t="shared" si="2"/>
        <v>0</v>
      </c>
      <c r="E50" s="313">
        <f t="shared" si="2"/>
        <v>0</v>
      </c>
      <c r="F50" s="313">
        <f t="shared" si="2"/>
        <v>0</v>
      </c>
      <c r="G50" s="313">
        <f t="shared" si="2"/>
        <v>8.286263623643134E-3</v>
      </c>
      <c r="H50" s="313">
        <f t="shared" si="2"/>
        <v>0</v>
      </c>
      <c r="I50" s="313">
        <f t="shared" si="2"/>
        <v>0</v>
      </c>
      <c r="J50" s="313">
        <f t="shared" si="2"/>
        <v>0</v>
      </c>
      <c r="K50" s="313">
        <f t="shared" si="2"/>
        <v>0</v>
      </c>
      <c r="L50" s="313">
        <f t="shared" si="2"/>
        <v>0</v>
      </c>
      <c r="M50" s="313">
        <f t="shared" si="2"/>
        <v>3.5478597876231115E-4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3.8196114806293959E-5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8.286263623643134E-3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3.5478597876231115E-4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10.610031890637211</v>
      </c>
      <c r="C54" s="21">
        <f t="shared" ref="C54:P54" si="3">(C50)*10^9/3600</f>
        <v>0</v>
      </c>
      <c r="D54" s="21">
        <f t="shared" si="3"/>
        <v>0</v>
      </c>
      <c r="E54" s="21">
        <f t="shared" si="3"/>
        <v>0</v>
      </c>
      <c r="F54" s="21">
        <f t="shared" si="3"/>
        <v>0</v>
      </c>
      <c r="G54" s="21">
        <f t="shared" si="3"/>
        <v>2301.739895456426</v>
      </c>
      <c r="H54" s="21">
        <f t="shared" si="3"/>
        <v>0</v>
      </c>
      <c r="I54" s="21">
        <f t="shared" si="3"/>
        <v>0</v>
      </c>
      <c r="J54" s="21">
        <f t="shared" si="3"/>
        <v>0</v>
      </c>
      <c r="K54" s="21">
        <f t="shared" si="3"/>
        <v>0</v>
      </c>
      <c r="L54" s="21">
        <f t="shared" si="3"/>
        <v>0</v>
      </c>
      <c r="M54" s="21">
        <f t="shared" si="3"/>
        <v>98.551660767308661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0.22554862763445357</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2.3930781320910097</v>
      </c>
      <c r="C58" s="23">
        <f t="shared" ref="C58:P58" ca="1" si="4">C54*C56</f>
        <v>0</v>
      </c>
      <c r="D58" s="23">
        <f t="shared" si="4"/>
        <v>0</v>
      </c>
      <c r="E58" s="23">
        <f t="shared" si="4"/>
        <v>0</v>
      </c>
      <c r="F58" s="23">
        <f t="shared" si="4"/>
        <v>0</v>
      </c>
      <c r="G58" s="23">
        <f t="shared" si="4"/>
        <v>614.56455208686577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5"/>
  <sheetViews>
    <sheetView showGridLines="0" zoomScale="65" zoomScaleNormal="65" workbookViewId="0">
      <selection activeCell="A28" sqref="A28:XFD33"/>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1538.2203246804604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N33</f>
        <v>43776</v>
      </c>
      <c r="C8" s="542">
        <f>B52</f>
        <v>51501.176470588231</v>
      </c>
      <c r="D8" s="920"/>
      <c r="E8" s="920">
        <f>E52</f>
        <v>0</v>
      </c>
      <c r="F8" s="921"/>
      <c r="G8" s="543"/>
      <c r="H8" s="920">
        <f>I52</f>
        <v>0</v>
      </c>
      <c r="I8" s="920">
        <f>G52+F52</f>
        <v>0</v>
      </c>
      <c r="J8" s="920">
        <f>H52+D52+C52</f>
        <v>0</v>
      </c>
      <c r="K8" s="920"/>
      <c r="L8" s="920"/>
      <c r="M8" s="920"/>
      <c r="N8" s="544"/>
      <c r="O8" s="545">
        <f>C8*$C$12+D8*$D$12+E8*$E$12+F8*$F$12+G8*$G$12+H8*$H$12+I8*$I$12+J8*$J$12</f>
        <v>10403.237647058822</v>
      </c>
      <c r="P8" s="1181"/>
      <c r="Q8" s="1182"/>
      <c r="S8" s="953"/>
      <c r="T8" s="1169"/>
      <c r="U8" s="1169"/>
    </row>
    <row r="9" spans="1:21" s="530" customFormat="1" ht="17.45" customHeight="1" thickBot="1">
      <c r="A9" s="546" t="s">
        <v>237</v>
      </c>
      <c r="B9" s="957">
        <f>N40+'Eigen informatie GS &amp; warmtenet'!B12</f>
        <v>0</v>
      </c>
      <c r="C9" s="547">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45314.220324680464</v>
      </c>
      <c r="C10" s="554">
        <f t="shared" ref="C10:L10" si="0">SUM(C8:C9)</f>
        <v>51501.176470588231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10403.237647058822</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O33</f>
        <v>62537.142857142855</v>
      </c>
      <c r="C17" s="566">
        <f>B53</f>
        <v>73573.109243697472</v>
      </c>
      <c r="D17" s="567"/>
      <c r="E17" s="567">
        <f>E53</f>
        <v>0</v>
      </c>
      <c r="F17" s="568"/>
      <c r="G17" s="569"/>
      <c r="H17" s="566">
        <f>I53</f>
        <v>0</v>
      </c>
      <c r="I17" s="567">
        <f>G53+F53</f>
        <v>0</v>
      </c>
      <c r="J17" s="567">
        <f>H53+D53+C53</f>
        <v>0</v>
      </c>
      <c r="K17" s="567"/>
      <c r="L17" s="567"/>
      <c r="M17" s="567"/>
      <c r="N17" s="916"/>
      <c r="O17" s="570">
        <f>C17*$C$22+E17*$E$22+H17*$H$22+I17*$I$22+J17*$J$22+D17*$D$22+F17*$F$22+G17*$G$22+K17*$K$22+L17*$L$22</f>
        <v>14861.768067226891</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62537.142857142855</v>
      </c>
      <c r="C20" s="553">
        <f>SUM(C17:C19)</f>
        <v>73573.109243697472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14861.768067226891</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11037</v>
      </c>
      <c r="C28" s="736">
        <v>2840</v>
      </c>
      <c r="D28" s="626"/>
      <c r="E28" s="625"/>
      <c r="F28" s="625"/>
      <c r="G28" s="625" t="s">
        <v>962</v>
      </c>
      <c r="H28" s="625" t="s">
        <v>963</v>
      </c>
      <c r="I28" s="625"/>
      <c r="J28" s="735"/>
      <c r="K28" s="735"/>
      <c r="L28" s="625" t="s">
        <v>964</v>
      </c>
      <c r="M28" s="625">
        <v>1147</v>
      </c>
      <c r="N28" s="625">
        <v>5161.5</v>
      </c>
      <c r="O28" s="625">
        <v>7373.5714285714284</v>
      </c>
      <c r="P28" s="625">
        <v>14747.142857142859</v>
      </c>
      <c r="Q28" s="625">
        <v>0</v>
      </c>
      <c r="R28" s="625">
        <v>0</v>
      </c>
      <c r="S28" s="625">
        <v>0</v>
      </c>
      <c r="T28" s="625">
        <v>0</v>
      </c>
      <c r="U28" s="625">
        <v>0</v>
      </c>
      <c r="V28" s="625">
        <v>0</v>
      </c>
      <c r="W28" s="625">
        <v>0</v>
      </c>
      <c r="X28" s="625"/>
      <c r="Y28" s="625">
        <v>10</v>
      </c>
      <c r="Z28" s="625" t="s">
        <v>105</v>
      </c>
      <c r="AA28" s="627" t="s">
        <v>105</v>
      </c>
    </row>
    <row r="29" spans="1:27" s="579" customFormat="1" ht="25.5" hidden="1">
      <c r="A29" s="578"/>
      <c r="B29" s="736">
        <v>11037</v>
      </c>
      <c r="C29" s="736">
        <v>2840</v>
      </c>
      <c r="D29" s="626"/>
      <c r="E29" s="625"/>
      <c r="F29" s="625"/>
      <c r="G29" s="625" t="s">
        <v>962</v>
      </c>
      <c r="H29" s="625" t="s">
        <v>963</v>
      </c>
      <c r="I29" s="625"/>
      <c r="J29" s="735"/>
      <c r="K29" s="735"/>
      <c r="L29" s="625" t="s">
        <v>964</v>
      </c>
      <c r="M29" s="625">
        <v>1532</v>
      </c>
      <c r="N29" s="625">
        <v>6894</v>
      </c>
      <c r="O29" s="625">
        <v>9848.5714285714294</v>
      </c>
      <c r="P29" s="625">
        <v>19697.142857142859</v>
      </c>
      <c r="Q29" s="625">
        <v>0</v>
      </c>
      <c r="R29" s="625">
        <v>0</v>
      </c>
      <c r="S29" s="625">
        <v>0</v>
      </c>
      <c r="T29" s="625">
        <v>0</v>
      </c>
      <c r="U29" s="625">
        <v>0</v>
      </c>
      <c r="V29" s="625">
        <v>0</v>
      </c>
      <c r="W29" s="625">
        <v>0</v>
      </c>
      <c r="X29" s="625"/>
      <c r="Y29" s="625">
        <v>10</v>
      </c>
      <c r="Z29" s="625" t="s">
        <v>105</v>
      </c>
      <c r="AA29" s="627" t="s">
        <v>105</v>
      </c>
    </row>
    <row r="30" spans="1:27" s="579" customFormat="1" ht="25.5" hidden="1">
      <c r="A30" s="578"/>
      <c r="B30" s="736">
        <v>11037</v>
      </c>
      <c r="C30" s="736">
        <v>2840</v>
      </c>
      <c r="D30" s="626"/>
      <c r="E30" s="625"/>
      <c r="F30" s="625"/>
      <c r="G30" s="625" t="s">
        <v>962</v>
      </c>
      <c r="H30" s="625" t="s">
        <v>963</v>
      </c>
      <c r="I30" s="625"/>
      <c r="J30" s="735"/>
      <c r="K30" s="735"/>
      <c r="L30" s="625" t="s">
        <v>964</v>
      </c>
      <c r="M30" s="625">
        <v>2333</v>
      </c>
      <c r="N30" s="625">
        <v>10498.5</v>
      </c>
      <c r="O30" s="625">
        <v>14997.857142857143</v>
      </c>
      <c r="P30" s="625">
        <v>29995.714285714286</v>
      </c>
      <c r="Q30" s="625">
        <v>0</v>
      </c>
      <c r="R30" s="625">
        <v>0</v>
      </c>
      <c r="S30" s="625">
        <v>0</v>
      </c>
      <c r="T30" s="625">
        <v>0</v>
      </c>
      <c r="U30" s="625">
        <v>0</v>
      </c>
      <c r="V30" s="625">
        <v>0</v>
      </c>
      <c r="W30" s="625">
        <v>0</v>
      </c>
      <c r="X30" s="625"/>
      <c r="Y30" s="625">
        <v>10</v>
      </c>
      <c r="Z30" s="625" t="s">
        <v>105</v>
      </c>
      <c r="AA30" s="627" t="s">
        <v>105</v>
      </c>
    </row>
    <row r="31" spans="1:27" s="579" customFormat="1" ht="25.5" hidden="1">
      <c r="A31" s="578"/>
      <c r="B31" s="736">
        <v>11037</v>
      </c>
      <c r="C31" s="736">
        <v>2840</v>
      </c>
      <c r="D31" s="626"/>
      <c r="E31" s="625"/>
      <c r="F31" s="625"/>
      <c r="G31" s="625" t="s">
        <v>962</v>
      </c>
      <c r="H31" s="625" t="s">
        <v>963</v>
      </c>
      <c r="I31" s="625"/>
      <c r="J31" s="735"/>
      <c r="K31" s="735"/>
      <c r="L31" s="625" t="s">
        <v>964</v>
      </c>
      <c r="M31" s="625">
        <v>2358</v>
      </c>
      <c r="N31" s="625">
        <v>10611</v>
      </c>
      <c r="O31" s="625">
        <v>15158.571428571429</v>
      </c>
      <c r="P31" s="625">
        <v>30317.142857142859</v>
      </c>
      <c r="Q31" s="625">
        <v>0</v>
      </c>
      <c r="R31" s="625">
        <v>0</v>
      </c>
      <c r="S31" s="625">
        <v>0</v>
      </c>
      <c r="T31" s="625">
        <v>0</v>
      </c>
      <c r="U31" s="625">
        <v>0</v>
      </c>
      <c r="V31" s="625">
        <v>0</v>
      </c>
      <c r="W31" s="625">
        <v>0</v>
      </c>
      <c r="X31" s="625"/>
      <c r="Y31" s="625">
        <v>10</v>
      </c>
      <c r="Z31" s="625" t="s">
        <v>105</v>
      </c>
      <c r="AA31" s="627" t="s">
        <v>105</v>
      </c>
    </row>
    <row r="32" spans="1:27" s="579" customFormat="1" ht="25.5" hidden="1">
      <c r="A32" s="578"/>
      <c r="B32" s="736">
        <v>11037</v>
      </c>
      <c r="C32" s="736">
        <v>2840</v>
      </c>
      <c r="D32" s="626"/>
      <c r="E32" s="625"/>
      <c r="F32" s="625"/>
      <c r="G32" s="625" t="s">
        <v>962</v>
      </c>
      <c r="H32" s="625" t="s">
        <v>963</v>
      </c>
      <c r="I32" s="625"/>
      <c r="J32" s="735"/>
      <c r="K32" s="735"/>
      <c r="L32" s="625" t="s">
        <v>964</v>
      </c>
      <c r="M32" s="625">
        <v>2358</v>
      </c>
      <c r="N32" s="625">
        <v>10611</v>
      </c>
      <c r="O32" s="625">
        <v>15158.571428571429</v>
      </c>
      <c r="P32" s="625">
        <v>30317.142857142859</v>
      </c>
      <c r="Q32" s="625">
        <v>0</v>
      </c>
      <c r="R32" s="625">
        <v>0</v>
      </c>
      <c r="S32" s="625">
        <v>0</v>
      </c>
      <c r="T32" s="625">
        <v>0</v>
      </c>
      <c r="U32" s="625">
        <v>0</v>
      </c>
      <c r="V32" s="625">
        <v>0</v>
      </c>
      <c r="W32" s="625">
        <v>0</v>
      </c>
      <c r="X32" s="625"/>
      <c r="Y32" s="625">
        <v>10</v>
      </c>
      <c r="Z32" s="625" t="s">
        <v>105</v>
      </c>
      <c r="AA32" s="627" t="s">
        <v>105</v>
      </c>
    </row>
    <row r="33" spans="1:28" s="561" customFormat="1" hidden="1">
      <c r="A33" s="581" t="s">
        <v>269</v>
      </c>
      <c r="B33" s="582"/>
      <c r="C33" s="582"/>
      <c r="D33" s="582"/>
      <c r="E33" s="582"/>
      <c r="F33" s="582"/>
      <c r="G33" s="582"/>
      <c r="H33" s="582"/>
      <c r="I33" s="582"/>
      <c r="J33" s="582"/>
      <c r="K33" s="582"/>
      <c r="L33" s="583"/>
      <c r="M33" s="583">
        <f>SUM(M28:M32)</f>
        <v>9728</v>
      </c>
      <c r="N33" s="583">
        <f>SUM(N28:N32)</f>
        <v>43776</v>
      </c>
      <c r="O33" s="583">
        <f>SUM(O28:O32)</f>
        <v>62537.142857142855</v>
      </c>
      <c r="P33" s="583">
        <f>SUM(P28:P32)</f>
        <v>125074.28571428571</v>
      </c>
      <c r="Q33" s="583">
        <f>SUM(Q28:Q32)</f>
        <v>0</v>
      </c>
      <c r="R33" s="583">
        <f>SUM(R28:R32)</f>
        <v>0</v>
      </c>
      <c r="S33" s="583">
        <f>SUM(S28:S32)</f>
        <v>0</v>
      </c>
      <c r="T33" s="583">
        <f>SUM(T28:T32)</f>
        <v>0</v>
      </c>
      <c r="U33" s="583">
        <f>SUM(U28:U32)</f>
        <v>0</v>
      </c>
      <c r="V33" s="583">
        <f>SUM(V28:V32)</f>
        <v>0</v>
      </c>
      <c r="W33" s="583">
        <f>SUM(W28:W32)</f>
        <v>0</v>
      </c>
      <c r="X33" s="583"/>
      <c r="Y33" s="584"/>
      <c r="Z33" s="584"/>
      <c r="AA33" s="585"/>
    </row>
    <row r="34" spans="1:28" s="561" customFormat="1">
      <c r="A34" s="581" t="s">
        <v>276</v>
      </c>
      <c r="B34" s="582"/>
      <c r="C34" s="582"/>
      <c r="D34" s="582"/>
      <c r="E34" s="582"/>
      <c r="F34" s="582"/>
      <c r="G34" s="582"/>
      <c r="H34" s="582"/>
      <c r="I34" s="582"/>
      <c r="J34" s="582"/>
      <c r="K34" s="582"/>
      <c r="L34" s="583"/>
      <c r="M34" s="583">
        <f>SUMIF($AA$28:$AA$32,"industrie",M28:M32)</f>
        <v>0</v>
      </c>
      <c r="N34" s="583">
        <f>SUMIF($AA$28:$AA$32,"industrie",N28:N32)</f>
        <v>0</v>
      </c>
      <c r="O34" s="583">
        <f>SUMIF($AA$28:$AA$32,"industrie",O28:O32)</f>
        <v>0</v>
      </c>
      <c r="P34" s="583">
        <f>SUMIF($AA$28:$AA$32,"industrie",P28:P32)</f>
        <v>0</v>
      </c>
      <c r="Q34" s="583">
        <f>SUMIF($AA$28:$AA$32,"industrie",Q28:Q32)</f>
        <v>0</v>
      </c>
      <c r="R34" s="583">
        <f>SUMIF($AA$28:$AA$32,"industrie",R28:R32)</f>
        <v>0</v>
      </c>
      <c r="S34" s="583">
        <f>SUMIF($AA$28:$AA$32,"industrie",S28:S32)</f>
        <v>0</v>
      </c>
      <c r="T34" s="583">
        <f>SUMIF($AA$28:$AA$32,"industrie",T28:T32)</f>
        <v>0</v>
      </c>
      <c r="U34" s="583">
        <f>SUMIF($AA$28:$AA$32,"industrie",U28:U32)</f>
        <v>0</v>
      </c>
      <c r="V34" s="583">
        <f>SUMIF($AA$28:$AA$32,"industrie",V28:V32)</f>
        <v>0</v>
      </c>
      <c r="W34" s="583">
        <f>SUMIF($AA$28:$AA$32,"industrie",W28:W32)</f>
        <v>0</v>
      </c>
      <c r="X34" s="583"/>
      <c r="Y34" s="584"/>
      <c r="Z34" s="584"/>
      <c r="AA34" s="585"/>
    </row>
    <row r="35" spans="1:28" s="561" customFormat="1">
      <c r="A35" s="581" t="s">
        <v>277</v>
      </c>
      <c r="B35" s="582"/>
      <c r="C35" s="582"/>
      <c r="D35" s="582"/>
      <c r="E35" s="582"/>
      <c r="F35" s="582"/>
      <c r="G35" s="582"/>
      <c r="H35" s="582"/>
      <c r="I35" s="582"/>
      <c r="J35" s="582"/>
      <c r="K35" s="582"/>
      <c r="L35" s="583"/>
      <c r="M35" s="583">
        <f ca="1">SUMIF($AA$28:AD32,"tertiair",M28:M32)</f>
        <v>0</v>
      </c>
      <c r="N35" s="583">
        <f ca="1">SUMIF($AA$28:AE32,"tertiair",N28:N32)</f>
        <v>0</v>
      </c>
      <c r="O35" s="583">
        <f ca="1">SUMIF($AA$28:AF32,"tertiair",O28:O32)</f>
        <v>0</v>
      </c>
      <c r="P35" s="583">
        <f ca="1">SUMIF($AA$28:AG32,"tertiair",P28:P32)</f>
        <v>0</v>
      </c>
      <c r="Q35" s="583">
        <f ca="1">SUMIF($AA$28:AH32,"tertiair",Q28:Q32)</f>
        <v>0</v>
      </c>
      <c r="R35" s="583">
        <f ca="1">SUMIF($AA$28:AI32,"tertiair",R28:R32)</f>
        <v>0</v>
      </c>
      <c r="S35" s="583">
        <f ca="1">SUMIF($AA$28:AJ32,"tertiair",S28:S32)</f>
        <v>0</v>
      </c>
      <c r="T35" s="583">
        <f ca="1">SUMIF($AA$28:AK32,"tertiair",T28:T32)</f>
        <v>0</v>
      </c>
      <c r="U35" s="583">
        <f ca="1">SUMIF($AA$28:AL32,"tertiair",U28:U32)</f>
        <v>0</v>
      </c>
      <c r="V35" s="583">
        <f ca="1">SUMIF($AA$28:AM32,"tertiair",V28:V32)</f>
        <v>0</v>
      </c>
      <c r="W35" s="583">
        <f ca="1">SUMIF($AA$28:AN32,"tertiair",W28:W32)</f>
        <v>0</v>
      </c>
      <c r="X35" s="583"/>
      <c r="Y35" s="584"/>
      <c r="Z35" s="584"/>
      <c r="AA35" s="585"/>
    </row>
    <row r="36" spans="1:28" s="561" customFormat="1" ht="15.75" thickBot="1">
      <c r="A36" s="586" t="s">
        <v>278</v>
      </c>
      <c r="B36" s="587"/>
      <c r="C36" s="587"/>
      <c r="D36" s="587"/>
      <c r="E36" s="587"/>
      <c r="F36" s="587"/>
      <c r="G36" s="587"/>
      <c r="H36" s="587"/>
      <c r="I36" s="587"/>
      <c r="J36" s="587"/>
      <c r="K36" s="587"/>
      <c r="L36" s="588"/>
      <c r="M36" s="588">
        <f>SUMIF($AA$28:$AA$32,"landbouw",M28:M32)</f>
        <v>9728</v>
      </c>
      <c r="N36" s="588">
        <f>SUMIF($AA$28:$AA$32,"landbouw",N28:N32)</f>
        <v>43776</v>
      </c>
      <c r="O36" s="588">
        <f>SUMIF($AA$28:$AA$32,"landbouw",O28:O32)</f>
        <v>62537.142857142855</v>
      </c>
      <c r="P36" s="588">
        <f>SUMIF($AA$28:$AA$32,"landbouw",P28:P32)</f>
        <v>125074.28571428571</v>
      </c>
      <c r="Q36" s="588">
        <f>SUMIF($AA$28:$AA$32,"landbouw",Q28:Q32)</f>
        <v>0</v>
      </c>
      <c r="R36" s="588">
        <f>SUMIF($AA$28:$AA$32,"landbouw",R28:R32)</f>
        <v>0</v>
      </c>
      <c r="S36" s="588">
        <f>SUMIF($AA$28:$AA$32,"landbouw",S28:S32)</f>
        <v>0</v>
      </c>
      <c r="T36" s="588">
        <f>SUMIF($AA$28:$AA$32,"landbouw",T28:T32)</f>
        <v>0</v>
      </c>
      <c r="U36" s="588">
        <f>SUMIF($AA$28:$AA$32,"landbouw",U28:U32)</f>
        <v>0</v>
      </c>
      <c r="V36" s="588">
        <f>SUMIF($AA$28:$AA$32,"landbouw",V28:V32)</f>
        <v>0</v>
      </c>
      <c r="W36" s="588">
        <f>SUMIF($AA$28:$AA$32,"landbouw",W28:W32)</f>
        <v>0</v>
      </c>
      <c r="X36" s="588"/>
      <c r="Y36" s="589"/>
      <c r="Z36" s="589"/>
      <c r="AA36" s="590"/>
    </row>
    <row r="37" spans="1:28" s="530" customFormat="1" ht="15.75" thickBot="1">
      <c r="A37" s="591"/>
      <c r="B37" s="592"/>
      <c r="C37" s="592"/>
      <c r="D37" s="592"/>
      <c r="E37" s="592"/>
      <c r="F37" s="592"/>
      <c r="G37" s="592"/>
      <c r="H37" s="592"/>
      <c r="I37" s="592"/>
      <c r="J37" s="592"/>
      <c r="K37" s="592"/>
      <c r="L37" s="575"/>
      <c r="M37" s="575"/>
      <c r="N37" s="575"/>
      <c r="O37" s="576"/>
      <c r="P37" s="576"/>
    </row>
    <row r="38" spans="1:28" s="530" customFormat="1" ht="45">
      <c r="A38" s="593" t="s">
        <v>270</v>
      </c>
      <c r="B38" s="622" t="s">
        <v>89</v>
      </c>
      <c r="C38" s="622" t="s">
        <v>90</v>
      </c>
      <c r="D38" s="622"/>
      <c r="E38" s="622"/>
      <c r="F38" s="622"/>
      <c r="G38" s="622" t="s">
        <v>91</v>
      </c>
      <c r="H38" s="622" t="s">
        <v>92</v>
      </c>
      <c r="I38" s="622"/>
      <c r="J38" s="622"/>
      <c r="K38" s="622"/>
      <c r="L38" s="622" t="s">
        <v>93</v>
      </c>
      <c r="M38" s="623" t="s">
        <v>287</v>
      </c>
      <c r="N38" s="623" t="s">
        <v>94</v>
      </c>
      <c r="O38" s="623" t="s">
        <v>95</v>
      </c>
      <c r="P38" s="623" t="s">
        <v>528</v>
      </c>
      <c r="Q38" s="623" t="s">
        <v>96</v>
      </c>
      <c r="R38" s="623" t="s">
        <v>97</v>
      </c>
      <c r="S38" s="623" t="s">
        <v>98</v>
      </c>
      <c r="T38" s="623" t="s">
        <v>99</v>
      </c>
      <c r="U38" s="623" t="s">
        <v>100</v>
      </c>
      <c r="V38" s="623" t="s">
        <v>101</v>
      </c>
      <c r="W38" s="622" t="s">
        <v>102</v>
      </c>
      <c r="X38" s="622" t="s">
        <v>961</v>
      </c>
      <c r="Y38" s="622" t="s">
        <v>288</v>
      </c>
      <c r="Z38" s="622" t="s">
        <v>103</v>
      </c>
      <c r="AA38" s="624" t="s">
        <v>289</v>
      </c>
    </row>
    <row r="39" spans="1:28" s="594" customFormat="1" ht="12.75" hidden="1">
      <c r="A39" s="580"/>
      <c r="B39" s="736"/>
      <c r="C39" s="736"/>
      <c r="D39" s="628"/>
      <c r="E39" s="628"/>
      <c r="F39" s="628"/>
      <c r="G39" s="628"/>
      <c r="H39" s="628"/>
      <c r="I39" s="628"/>
      <c r="J39" s="735"/>
      <c r="K39" s="735"/>
      <c r="L39" s="628"/>
      <c r="M39" s="628"/>
      <c r="N39" s="628"/>
      <c r="O39" s="628"/>
      <c r="P39" s="628"/>
      <c r="Q39" s="628"/>
      <c r="R39" s="628"/>
      <c r="S39" s="628"/>
      <c r="T39" s="628"/>
      <c r="U39" s="628"/>
      <c r="V39" s="628"/>
      <c r="W39" s="628"/>
      <c r="X39" s="628"/>
      <c r="Y39" s="628"/>
      <c r="Z39" s="628"/>
      <c r="AA39" s="629"/>
    </row>
    <row r="40" spans="1:28" s="561" customFormat="1" hidden="1">
      <c r="A40" s="581" t="s">
        <v>269</v>
      </c>
      <c r="B40" s="582"/>
      <c r="C40" s="582"/>
      <c r="D40" s="582"/>
      <c r="E40" s="582"/>
      <c r="F40" s="582"/>
      <c r="G40" s="582"/>
      <c r="H40" s="582"/>
      <c r="I40" s="582"/>
      <c r="J40" s="582"/>
      <c r="K40" s="582"/>
      <c r="L40" s="583"/>
      <c r="M40" s="583">
        <f>SUM(M39:M39)</f>
        <v>0</v>
      </c>
      <c r="N40" s="583">
        <f>SUM(N39:N39)</f>
        <v>0</v>
      </c>
      <c r="O40" s="583">
        <f>SUM(O39:O39)</f>
        <v>0</v>
      </c>
      <c r="P40" s="583">
        <f>SUM(P39:P39)</f>
        <v>0</v>
      </c>
      <c r="Q40" s="583">
        <f>SUM(Q39:Q39)</f>
        <v>0</v>
      </c>
      <c r="R40" s="583">
        <f>SUM(R39:R39)</f>
        <v>0</v>
      </c>
      <c r="S40" s="583">
        <f>SUM(S39:S39)</f>
        <v>0</v>
      </c>
      <c r="T40" s="583">
        <f>SUM(T39:T39)</f>
        <v>0</v>
      </c>
      <c r="U40" s="583">
        <f>SUM(U39:U39)</f>
        <v>0</v>
      </c>
      <c r="V40" s="583">
        <f>SUM(V39:V39)</f>
        <v>0</v>
      </c>
      <c r="W40" s="583">
        <f>SUM(W39:W39)</f>
        <v>0</v>
      </c>
      <c r="X40" s="583"/>
      <c r="Y40" s="584"/>
      <c r="Z40" s="584"/>
      <c r="AA40" s="585"/>
    </row>
    <row r="41" spans="1:28" s="561" customFormat="1">
      <c r="A41" s="581" t="s">
        <v>276</v>
      </c>
      <c r="B41" s="582"/>
      <c r="C41" s="582"/>
      <c r="D41" s="582"/>
      <c r="E41" s="582"/>
      <c r="F41" s="582"/>
      <c r="G41" s="582"/>
      <c r="H41" s="582"/>
      <c r="I41" s="582"/>
      <c r="J41" s="582"/>
      <c r="K41" s="582"/>
      <c r="L41" s="583"/>
      <c r="M41" s="583">
        <f>SUMIF($AA$39:$AA$39,"industrie",M39:M39)</f>
        <v>0</v>
      </c>
      <c r="N41" s="583">
        <f>SUMIF($AA$39:$AA$39,"industrie",N39:N39)</f>
        <v>0</v>
      </c>
      <c r="O41" s="583">
        <f>SUMIF($AA$39:$AA$39,"industrie",O39:O39)</f>
        <v>0</v>
      </c>
      <c r="P41" s="583">
        <f>SUMIF($AA$39:$AA$39,"industrie",P39:P39)</f>
        <v>0</v>
      </c>
      <c r="Q41" s="583">
        <f>SUMIF($AA$39:$AA$39,"industrie",Q39:Q39)</f>
        <v>0</v>
      </c>
      <c r="R41" s="583">
        <f>SUMIF($AA$39:$AA$39,"industrie",R39:R39)</f>
        <v>0</v>
      </c>
      <c r="S41" s="583">
        <f>SUMIF($AA$39:$AA$39,"industrie",S39:S39)</f>
        <v>0</v>
      </c>
      <c r="T41" s="583">
        <f>SUMIF($AA$39:$AA$39,"industrie",T39:T39)</f>
        <v>0</v>
      </c>
      <c r="U41" s="583">
        <f>SUMIF($AA$39:$AA$39,"industrie",U39:U39)</f>
        <v>0</v>
      </c>
      <c r="V41" s="583">
        <f>SUMIF($AA$39:$AA$39,"industrie",V39:V39)</f>
        <v>0</v>
      </c>
      <c r="W41" s="583">
        <f>SUMIF($AA$39:$AA$39,"industrie",W39:W39)</f>
        <v>0</v>
      </c>
      <c r="X41" s="583"/>
      <c r="Y41" s="584"/>
      <c r="Z41" s="584"/>
      <c r="AA41" s="585"/>
    </row>
    <row r="42" spans="1:28" s="561" customFormat="1">
      <c r="A42" s="581" t="s">
        <v>277</v>
      </c>
      <c r="B42" s="582"/>
      <c r="C42" s="582"/>
      <c r="D42" s="582"/>
      <c r="E42" s="582"/>
      <c r="F42" s="582"/>
      <c r="G42" s="582"/>
      <c r="H42" s="582"/>
      <c r="I42" s="582"/>
      <c r="J42" s="582"/>
      <c r="K42" s="582"/>
      <c r="L42" s="583"/>
      <c r="M42" s="583">
        <f>SUMIF($AA$39:$AA$40,"tertiair",M39:M40)</f>
        <v>0</v>
      </c>
      <c r="N42" s="583">
        <f>SUMIF($AA$39:$AA$40,"tertiair",N39:N40)</f>
        <v>0</v>
      </c>
      <c r="O42" s="583">
        <f>SUMIF($AA$39:$AA$40,"tertiair",O39:O40)</f>
        <v>0</v>
      </c>
      <c r="P42" s="583">
        <f>SUMIF($AA$39:$AA$40,"tertiair",P39:P40)</f>
        <v>0</v>
      </c>
      <c r="Q42" s="583">
        <f>SUMIF($AA$39:$AA$40,"tertiair",Q39:Q40)</f>
        <v>0</v>
      </c>
      <c r="R42" s="583">
        <f>SUMIF($AA$39:$AA$40,"tertiair",R39:R40)</f>
        <v>0</v>
      </c>
      <c r="S42" s="583">
        <f>SUMIF($AA$39:$AA$40,"tertiair",S39:S40)</f>
        <v>0</v>
      </c>
      <c r="T42" s="583">
        <f>SUMIF($AA$39:$AA$40,"tertiair",T39:T40)</f>
        <v>0</v>
      </c>
      <c r="U42" s="583">
        <f>SUMIF($AA$39:$AA$40,"tertiair",U39:U40)</f>
        <v>0</v>
      </c>
      <c r="V42" s="583">
        <f>SUMIF($AA$39:$AA$40,"tertiair",V39:V40)</f>
        <v>0</v>
      </c>
      <c r="W42" s="583">
        <f>SUMIF($AA$39:$AA$40,"tertiair",W39:W40)</f>
        <v>0</v>
      </c>
      <c r="X42" s="583"/>
      <c r="Y42" s="584"/>
      <c r="Z42" s="584"/>
      <c r="AA42" s="585"/>
    </row>
    <row r="43" spans="1:28" s="561" customFormat="1" ht="15.75" thickBot="1">
      <c r="A43" s="586" t="s">
        <v>278</v>
      </c>
      <c r="B43" s="587"/>
      <c r="C43" s="587"/>
      <c r="D43" s="587"/>
      <c r="E43" s="587"/>
      <c r="F43" s="587"/>
      <c r="G43" s="587"/>
      <c r="H43" s="587"/>
      <c r="I43" s="587"/>
      <c r="J43" s="587"/>
      <c r="K43" s="587"/>
      <c r="L43" s="588"/>
      <c r="M43" s="588">
        <f>SUMIF($AA$39:$AA$41,"landbouw",M39:M41)</f>
        <v>0</v>
      </c>
      <c r="N43" s="588">
        <f>SUMIF($AA$39:$AA$41,"landbouw",N39:N41)</f>
        <v>0</v>
      </c>
      <c r="O43" s="588">
        <f>SUMIF($AA$39:$AA$41,"landbouw",O39:O41)</f>
        <v>0</v>
      </c>
      <c r="P43" s="588">
        <f>SUMIF($AA$39:$AA$41,"landbouw",P39:P41)</f>
        <v>0</v>
      </c>
      <c r="Q43" s="588">
        <f>SUMIF($AA$39:$AA$41,"landbouw",Q39:Q41)</f>
        <v>0</v>
      </c>
      <c r="R43" s="588">
        <f>SUMIF($AA$39:$AA$41,"landbouw",R39:R41)</f>
        <v>0</v>
      </c>
      <c r="S43" s="588">
        <f>SUMIF($AA$39:$AA$41,"landbouw",S39:S41)</f>
        <v>0</v>
      </c>
      <c r="T43" s="588">
        <f>SUMIF($AA$39:$AA$41,"landbouw",T39:T41)</f>
        <v>0</v>
      </c>
      <c r="U43" s="588">
        <f>SUMIF($AA$39:$AA$41,"landbouw",U39:U41)</f>
        <v>0</v>
      </c>
      <c r="V43" s="588">
        <f>SUMIF($AA$39:$AA$41,"landbouw",V39:V41)</f>
        <v>0</v>
      </c>
      <c r="W43" s="588">
        <f>SUMIF($AA$39:$AA$41,"landbouw",W39:W41)</f>
        <v>0</v>
      </c>
      <c r="X43" s="588"/>
      <c r="Y43" s="589"/>
      <c r="Z43" s="589"/>
      <c r="AA43" s="590"/>
    </row>
    <row r="44" spans="1:28" s="595" customFormat="1">
      <c r="A44" s="591"/>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row>
    <row r="45" spans="1:28" s="595" customFormat="1" ht="15.75" thickBot="1">
      <c r="A45" s="591"/>
      <c r="B45" s="575"/>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row>
    <row r="46" spans="1:28">
      <c r="A46" s="596" t="s">
        <v>271</v>
      </c>
      <c r="B46" s="597"/>
      <c r="C46" s="597"/>
      <c r="D46" s="597"/>
      <c r="E46" s="597"/>
      <c r="F46" s="597"/>
      <c r="G46" s="597"/>
      <c r="H46" s="597"/>
      <c r="I46" s="598"/>
      <c r="J46" s="599"/>
      <c r="K46" s="599"/>
      <c r="L46" s="600"/>
      <c r="M46" s="600"/>
      <c r="N46" s="600"/>
      <c r="O46" s="600"/>
      <c r="P46" s="600"/>
    </row>
    <row r="47" spans="1:28">
      <c r="A47" s="602"/>
      <c r="B47" s="592"/>
      <c r="C47" s="592"/>
      <c r="D47" s="592"/>
      <c r="E47" s="592"/>
      <c r="F47" s="592"/>
      <c r="G47" s="592"/>
      <c r="H47" s="592"/>
      <c r="I47" s="603"/>
      <c r="J47" s="592"/>
      <c r="K47" s="592"/>
      <c r="L47" s="600"/>
      <c r="M47" s="600"/>
      <c r="N47" s="600"/>
      <c r="O47" s="600"/>
      <c r="P47" s="600"/>
    </row>
    <row r="48" spans="1:28">
      <c r="A48" s="604"/>
      <c r="B48" s="605" t="s">
        <v>272</v>
      </c>
      <c r="C48" s="605" t="s">
        <v>273</v>
      </c>
      <c r="D48" s="605"/>
      <c r="E48" s="605"/>
      <c r="F48" s="605"/>
      <c r="G48" s="605"/>
      <c r="H48" s="605"/>
      <c r="I48" s="606"/>
      <c r="J48" s="605"/>
      <c r="K48" s="605"/>
      <c r="L48" s="605"/>
      <c r="M48" s="605"/>
      <c r="N48" s="605"/>
      <c r="O48" s="605"/>
      <c r="P48" s="600"/>
    </row>
    <row r="49" spans="1:16">
      <c r="A49" s="602" t="s">
        <v>269</v>
      </c>
      <c r="B49" s="607">
        <f>IF(ISERROR(O33/(O33+N33)),0,O33/(O33+N33))</f>
        <v>0.58823529411764708</v>
      </c>
      <c r="C49" s="608">
        <f>IF(ISERROR(N33/(O33+N33)),0,N33/(N33+O33))</f>
        <v>0.41176470588235292</v>
      </c>
      <c r="D49" s="575"/>
      <c r="E49" s="575"/>
      <c r="F49" s="575"/>
      <c r="G49" s="575"/>
      <c r="H49" s="575"/>
      <c r="I49" s="609"/>
      <c r="J49" s="575"/>
      <c r="K49" s="575"/>
      <c r="L49" s="610"/>
      <c r="M49" s="610"/>
      <c r="N49" s="610"/>
      <c r="O49" s="610"/>
      <c r="P49" s="600"/>
    </row>
    <row r="50" spans="1:16">
      <c r="A50" s="602"/>
      <c r="B50" s="611"/>
      <c r="C50" s="611"/>
      <c r="D50" s="611"/>
      <c r="E50" s="611"/>
      <c r="F50" s="611"/>
      <c r="G50" s="611"/>
      <c r="H50" s="611"/>
      <c r="I50" s="612"/>
      <c r="J50" s="611"/>
      <c r="K50" s="611"/>
      <c r="L50" s="613"/>
      <c r="M50" s="613"/>
      <c r="N50" s="613"/>
      <c r="O50" s="613"/>
      <c r="P50" s="600"/>
    </row>
    <row r="51" spans="1:16" ht="30">
      <c r="A51" s="614"/>
      <c r="B51" s="615" t="s">
        <v>528</v>
      </c>
      <c r="C51" s="615" t="s">
        <v>96</v>
      </c>
      <c r="D51" s="615" t="s">
        <v>97</v>
      </c>
      <c r="E51" s="615" t="s">
        <v>98</v>
      </c>
      <c r="F51" s="615" t="s">
        <v>99</v>
      </c>
      <c r="G51" s="615" t="s">
        <v>100</v>
      </c>
      <c r="H51" s="615" t="s">
        <v>101</v>
      </c>
      <c r="I51" s="616" t="s">
        <v>102</v>
      </c>
      <c r="J51" s="605"/>
      <c r="K51" s="605"/>
      <c r="L51" s="613"/>
      <c r="M51" s="613"/>
      <c r="N51" s="613"/>
      <c r="O51" s="600"/>
      <c r="P51" s="600"/>
    </row>
    <row r="52" spans="1:16">
      <c r="A52" s="604" t="s">
        <v>274</v>
      </c>
      <c r="B52" s="617">
        <f t="shared" ref="B52:I52" si="2">$C$49*P33</f>
        <v>51501.176470588231</v>
      </c>
      <c r="C52" s="617">
        <f t="shared" si="2"/>
        <v>0</v>
      </c>
      <c r="D52" s="617">
        <f t="shared" si="2"/>
        <v>0</v>
      </c>
      <c r="E52" s="617">
        <f t="shared" si="2"/>
        <v>0</v>
      </c>
      <c r="F52" s="617">
        <f t="shared" si="2"/>
        <v>0</v>
      </c>
      <c r="G52" s="617">
        <f t="shared" si="2"/>
        <v>0</v>
      </c>
      <c r="H52" s="617">
        <f t="shared" si="2"/>
        <v>0</v>
      </c>
      <c r="I52" s="618">
        <f t="shared" si="2"/>
        <v>0</v>
      </c>
      <c r="J52" s="575"/>
      <c r="K52" s="575"/>
      <c r="L52" s="613"/>
      <c r="M52" s="613"/>
      <c r="N52" s="613"/>
      <c r="O52" s="600"/>
      <c r="P52" s="600"/>
    </row>
    <row r="53" spans="1:16" ht="15.75" thickBot="1">
      <c r="A53" s="619" t="s">
        <v>275</v>
      </c>
      <c r="B53" s="620">
        <f t="shared" ref="B53:I53" si="3">$B$49*P33</f>
        <v>73573.109243697472</v>
      </c>
      <c r="C53" s="620">
        <f t="shared" si="3"/>
        <v>0</v>
      </c>
      <c r="D53" s="620">
        <f t="shared" si="3"/>
        <v>0</v>
      </c>
      <c r="E53" s="620">
        <f t="shared" si="3"/>
        <v>0</v>
      </c>
      <c r="F53" s="620">
        <f t="shared" si="3"/>
        <v>0</v>
      </c>
      <c r="G53" s="620">
        <f t="shared" si="3"/>
        <v>0</v>
      </c>
      <c r="H53" s="620">
        <f t="shared" si="3"/>
        <v>0</v>
      </c>
      <c r="I53" s="621">
        <f t="shared" si="3"/>
        <v>0</v>
      </c>
      <c r="J53" s="575"/>
      <c r="K53" s="575"/>
      <c r="L53" s="613"/>
      <c r="M53" s="613"/>
      <c r="N53" s="613"/>
      <c r="O53" s="600"/>
      <c r="P53" s="600"/>
    </row>
    <row r="54" spans="1:16">
      <c r="J54" s="559"/>
      <c r="K54" s="559"/>
      <c r="L54" s="559"/>
      <c r="M54" s="559"/>
      <c r="N54" s="559"/>
    </row>
    <row r="55" spans="1:16">
      <c r="J55" s="559"/>
      <c r="K55" s="559"/>
      <c r="L55" s="559"/>
      <c r="M55" s="559"/>
      <c r="N55"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38503.270349947583</v>
      </c>
      <c r="D10" s="635">
        <f ca="1">tertiair!C16</f>
        <v>0</v>
      </c>
      <c r="E10" s="635">
        <f ca="1">tertiair!D16</f>
        <v>23667.421968690389</v>
      </c>
      <c r="F10" s="635">
        <f>tertiair!E16</f>
        <v>526.22392855159239</v>
      </c>
      <c r="G10" s="635">
        <f ca="1">tertiair!F16</f>
        <v>8017.1218298335871</v>
      </c>
      <c r="H10" s="635">
        <f>tertiair!G16</f>
        <v>0</v>
      </c>
      <c r="I10" s="635">
        <f>tertiair!H16</f>
        <v>0</v>
      </c>
      <c r="J10" s="635">
        <f>tertiair!I16</f>
        <v>0</v>
      </c>
      <c r="K10" s="635">
        <f>tertiair!J16</f>
        <v>0</v>
      </c>
      <c r="L10" s="635">
        <f>tertiair!K16</f>
        <v>0</v>
      </c>
      <c r="M10" s="635">
        <f ca="1">tertiair!L16</f>
        <v>0</v>
      </c>
      <c r="N10" s="635">
        <f>tertiair!M16</f>
        <v>0</v>
      </c>
      <c r="O10" s="635">
        <f ca="1">tertiair!N16</f>
        <v>3470.4364798908205</v>
      </c>
      <c r="P10" s="635">
        <f>tertiair!O16</f>
        <v>0</v>
      </c>
      <c r="Q10" s="636">
        <f>tertiair!P16</f>
        <v>0</v>
      </c>
      <c r="R10" s="638">
        <f ca="1">SUM(C10:Q10)</f>
        <v>74184.474556913963</v>
      </c>
      <c r="S10" s="67"/>
    </row>
    <row r="11" spans="1:19" s="441" customFormat="1">
      <c r="A11" s="749" t="s">
        <v>214</v>
      </c>
      <c r="B11" s="754"/>
      <c r="C11" s="635">
        <f>huishoudens!B8</f>
        <v>28944.937559898928</v>
      </c>
      <c r="D11" s="635">
        <f>huishoudens!C8</f>
        <v>0</v>
      </c>
      <c r="E11" s="635">
        <f>huishoudens!D8</f>
        <v>70030.629734611372</v>
      </c>
      <c r="F11" s="635">
        <f>huishoudens!E8</f>
        <v>808.2771763927849</v>
      </c>
      <c r="G11" s="635">
        <f>huishoudens!F8</f>
        <v>27590.052926972177</v>
      </c>
      <c r="H11" s="635">
        <f>huishoudens!G8</f>
        <v>0</v>
      </c>
      <c r="I11" s="635">
        <f>huishoudens!H8</f>
        <v>0</v>
      </c>
      <c r="J11" s="635">
        <f>huishoudens!I8</f>
        <v>0</v>
      </c>
      <c r="K11" s="635">
        <f>huishoudens!J8</f>
        <v>621.25804320784982</v>
      </c>
      <c r="L11" s="635">
        <f>huishoudens!K8</f>
        <v>0</v>
      </c>
      <c r="M11" s="635">
        <f>huishoudens!L8</f>
        <v>0</v>
      </c>
      <c r="N11" s="635">
        <f>huishoudens!M8</f>
        <v>0</v>
      </c>
      <c r="O11" s="635">
        <f>huishoudens!N8</f>
        <v>6875.5200976368942</v>
      </c>
      <c r="P11" s="635">
        <f>huishoudens!O8</f>
        <v>46.9</v>
      </c>
      <c r="Q11" s="636">
        <f>huishoudens!P8</f>
        <v>190.66666666666669</v>
      </c>
      <c r="R11" s="638">
        <f>SUM(C11:Q11)</f>
        <v>135108.24220538666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15181.989540380426</v>
      </c>
      <c r="D13" s="635">
        <f>industrie!C18</f>
        <v>0</v>
      </c>
      <c r="E13" s="635">
        <f>industrie!D18</f>
        <v>62466.967481365849</v>
      </c>
      <c r="F13" s="635">
        <f>industrie!E18</f>
        <v>166.89470619397514</v>
      </c>
      <c r="G13" s="635">
        <f>industrie!F18</f>
        <v>3681.392951577041</v>
      </c>
      <c r="H13" s="635">
        <f>industrie!G18</f>
        <v>0</v>
      </c>
      <c r="I13" s="635">
        <f>industrie!H18</f>
        <v>0</v>
      </c>
      <c r="J13" s="635">
        <f>industrie!I18</f>
        <v>0</v>
      </c>
      <c r="K13" s="635">
        <f>industrie!J18</f>
        <v>91.752862707985813</v>
      </c>
      <c r="L13" s="635">
        <f>industrie!K18</f>
        <v>0</v>
      </c>
      <c r="M13" s="635">
        <f>industrie!L18</f>
        <v>0</v>
      </c>
      <c r="N13" s="635">
        <f>industrie!M18</f>
        <v>0</v>
      </c>
      <c r="O13" s="635">
        <f>industrie!N18</f>
        <v>324.38101262952483</v>
      </c>
      <c r="P13" s="635">
        <f>industrie!O18</f>
        <v>0</v>
      </c>
      <c r="Q13" s="636">
        <f>industrie!P18</f>
        <v>0</v>
      </c>
      <c r="R13" s="638">
        <f>SUM(C13:Q13)</f>
        <v>81913.378554854804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82630.19745022693</v>
      </c>
      <c r="D16" s="668">
        <f t="shared" ref="D16:R16" ca="1" si="0">SUM(D9:D15)</f>
        <v>0</v>
      </c>
      <c r="E16" s="668">
        <f t="shared" ca="1" si="0"/>
        <v>156165.01918466762</v>
      </c>
      <c r="F16" s="668">
        <f t="shared" si="0"/>
        <v>1501.3958111383527</v>
      </c>
      <c r="G16" s="668">
        <f t="shared" ca="1" si="0"/>
        <v>39288.567708382805</v>
      </c>
      <c r="H16" s="668">
        <f t="shared" si="0"/>
        <v>0</v>
      </c>
      <c r="I16" s="668">
        <f t="shared" si="0"/>
        <v>0</v>
      </c>
      <c r="J16" s="668">
        <f t="shared" si="0"/>
        <v>0</v>
      </c>
      <c r="K16" s="668">
        <f t="shared" si="0"/>
        <v>713.01090591583568</v>
      </c>
      <c r="L16" s="668">
        <f t="shared" si="0"/>
        <v>0</v>
      </c>
      <c r="M16" s="668">
        <f t="shared" ca="1" si="0"/>
        <v>0</v>
      </c>
      <c r="N16" s="668">
        <f t="shared" si="0"/>
        <v>0</v>
      </c>
      <c r="O16" s="668">
        <f t="shared" ca="1" si="0"/>
        <v>10670.33759015724</v>
      </c>
      <c r="P16" s="668">
        <f t="shared" si="0"/>
        <v>46.9</v>
      </c>
      <c r="Q16" s="668">
        <f t="shared" si="0"/>
        <v>190.66666666666669</v>
      </c>
      <c r="R16" s="668">
        <f t="shared" ca="1" si="0"/>
        <v>291206.09531715547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10.610031890637211</v>
      </c>
      <c r="D19" s="635">
        <f>transport!C54</f>
        <v>0</v>
      </c>
      <c r="E19" s="635">
        <f>transport!D54</f>
        <v>0</v>
      </c>
      <c r="F19" s="635">
        <f>transport!E54</f>
        <v>0</v>
      </c>
      <c r="G19" s="635">
        <f>transport!F54</f>
        <v>0</v>
      </c>
      <c r="H19" s="635">
        <f>transport!G54</f>
        <v>2301.739895456426</v>
      </c>
      <c r="I19" s="635">
        <f>transport!H54</f>
        <v>0</v>
      </c>
      <c r="J19" s="635">
        <f>transport!I54</f>
        <v>0</v>
      </c>
      <c r="K19" s="635">
        <f>transport!J54</f>
        <v>0</v>
      </c>
      <c r="L19" s="635">
        <f>transport!K54</f>
        <v>0</v>
      </c>
      <c r="M19" s="635">
        <f>transport!L54</f>
        <v>0</v>
      </c>
      <c r="N19" s="635">
        <f>transport!M54</f>
        <v>98.551660767308661</v>
      </c>
      <c r="O19" s="635">
        <f>transport!N54</f>
        <v>0</v>
      </c>
      <c r="P19" s="635">
        <f>transport!O54</f>
        <v>0</v>
      </c>
      <c r="Q19" s="636">
        <f>transport!P54</f>
        <v>0</v>
      </c>
      <c r="R19" s="638">
        <f>SUM(C19:Q19)</f>
        <v>2410.9015881143719</v>
      </c>
      <c r="S19" s="67"/>
    </row>
    <row r="20" spans="1:19" s="441" customFormat="1">
      <c r="A20" s="749" t="s">
        <v>296</v>
      </c>
      <c r="B20" s="754"/>
      <c r="C20" s="635">
        <f>transport!B14</f>
        <v>2.8866517483217518</v>
      </c>
      <c r="D20" s="635">
        <f>transport!C14</f>
        <v>0</v>
      </c>
      <c r="E20" s="635">
        <f>transport!D14</f>
        <v>8.7424647648133913</v>
      </c>
      <c r="F20" s="635">
        <f>transport!E14</f>
        <v>1018.7161753288044</v>
      </c>
      <c r="G20" s="635">
        <f>transport!F14</f>
        <v>0</v>
      </c>
      <c r="H20" s="635">
        <f>transport!G14</f>
        <v>200788.16518903131</v>
      </c>
      <c r="I20" s="635">
        <f>transport!H14</f>
        <v>31420.160811171136</v>
      </c>
      <c r="J20" s="635">
        <f>transport!I14</f>
        <v>0</v>
      </c>
      <c r="K20" s="635">
        <f>transport!J14</f>
        <v>0</v>
      </c>
      <c r="L20" s="635">
        <f>transport!K14</f>
        <v>0</v>
      </c>
      <c r="M20" s="635">
        <f>transport!L14</f>
        <v>0</v>
      </c>
      <c r="N20" s="635">
        <f>transport!M14</f>
        <v>10095.903631695024</v>
      </c>
      <c r="O20" s="635">
        <f>transport!N14</f>
        <v>0</v>
      </c>
      <c r="P20" s="635">
        <f>transport!O14</f>
        <v>0</v>
      </c>
      <c r="Q20" s="636">
        <f>transport!P14</f>
        <v>0</v>
      </c>
      <c r="R20" s="638">
        <f>SUM(C20:Q20)</f>
        <v>243334.57492373942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13.496683638958963</v>
      </c>
      <c r="D22" s="752">
        <f t="shared" ref="D22:R22" si="1">SUM(D18:D21)</f>
        <v>0</v>
      </c>
      <c r="E22" s="752">
        <f t="shared" si="1"/>
        <v>8.7424647648133913</v>
      </c>
      <c r="F22" s="752">
        <f t="shared" si="1"/>
        <v>1018.7161753288044</v>
      </c>
      <c r="G22" s="752">
        <f t="shared" si="1"/>
        <v>0</v>
      </c>
      <c r="H22" s="752">
        <f t="shared" si="1"/>
        <v>203089.90508448772</v>
      </c>
      <c r="I22" s="752">
        <f t="shared" si="1"/>
        <v>31420.160811171136</v>
      </c>
      <c r="J22" s="752">
        <f t="shared" si="1"/>
        <v>0</v>
      </c>
      <c r="K22" s="752">
        <f t="shared" si="1"/>
        <v>0</v>
      </c>
      <c r="L22" s="752">
        <f t="shared" si="1"/>
        <v>0</v>
      </c>
      <c r="M22" s="752">
        <f t="shared" si="1"/>
        <v>0</v>
      </c>
      <c r="N22" s="752">
        <f t="shared" si="1"/>
        <v>10194.455292462333</v>
      </c>
      <c r="O22" s="752">
        <f t="shared" si="1"/>
        <v>0</v>
      </c>
      <c r="P22" s="752">
        <f t="shared" si="1"/>
        <v>0</v>
      </c>
      <c r="Q22" s="752">
        <f t="shared" si="1"/>
        <v>0</v>
      </c>
      <c r="R22" s="752">
        <f t="shared" si="1"/>
        <v>245745.47651185381</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1766.0516868502539</v>
      </c>
      <c r="D24" s="635">
        <f>+landbouw!C8</f>
        <v>62537.142857142855</v>
      </c>
      <c r="E24" s="635">
        <f>+landbouw!D8</f>
        <v>0</v>
      </c>
      <c r="F24" s="635">
        <f>+landbouw!E8</f>
        <v>15.914366620601049</v>
      </c>
      <c r="G24" s="635">
        <f>+landbouw!F8</f>
        <v>6617.4495334207522</v>
      </c>
      <c r="H24" s="635">
        <f>+landbouw!G8</f>
        <v>0</v>
      </c>
      <c r="I24" s="635">
        <f>+landbouw!H8</f>
        <v>0</v>
      </c>
      <c r="J24" s="635">
        <f>+landbouw!I8</f>
        <v>0</v>
      </c>
      <c r="K24" s="635">
        <f>+landbouw!J8</f>
        <v>178.71712652342561</v>
      </c>
      <c r="L24" s="635">
        <f>+landbouw!K8</f>
        <v>0</v>
      </c>
      <c r="M24" s="635">
        <f>+landbouw!L8</f>
        <v>0</v>
      </c>
      <c r="N24" s="635">
        <f>+landbouw!M8</f>
        <v>0</v>
      </c>
      <c r="O24" s="635">
        <f>+landbouw!N8</f>
        <v>0</v>
      </c>
      <c r="P24" s="635">
        <f>+landbouw!O8</f>
        <v>0</v>
      </c>
      <c r="Q24" s="636">
        <f>+landbouw!P8</f>
        <v>0</v>
      </c>
      <c r="R24" s="638">
        <f>SUM(C24:Q24)</f>
        <v>71115.275570557875</v>
      </c>
      <c r="S24" s="67"/>
    </row>
    <row r="25" spans="1:19" s="441" customFormat="1" ht="15" thickBot="1">
      <c r="A25" s="771" t="s">
        <v>864</v>
      </c>
      <c r="B25" s="923"/>
      <c r="C25" s="924">
        <f>IF(Onbekend_ele_kWh="---",0,Onbekend_ele_kWh)/1000+IF(REST_rest_ele_kWh="---",0,REST_rest_ele_kWh)/1000</f>
        <v>1065.4758394420799</v>
      </c>
      <c r="D25" s="924"/>
      <c r="E25" s="924">
        <f>IF(onbekend_gas_kWh="---",0,onbekend_gas_kWh)/1000+IF(REST_rest_gas_kWh="---",0,REST_rest_gas_kWh)/1000</f>
        <v>2932.0019718374401</v>
      </c>
      <c r="F25" s="924"/>
      <c r="G25" s="924"/>
      <c r="H25" s="924"/>
      <c r="I25" s="924"/>
      <c r="J25" s="924"/>
      <c r="K25" s="924"/>
      <c r="L25" s="924"/>
      <c r="M25" s="924"/>
      <c r="N25" s="924"/>
      <c r="O25" s="924"/>
      <c r="P25" s="924"/>
      <c r="Q25" s="925"/>
      <c r="R25" s="638">
        <f>SUM(C25:Q25)</f>
        <v>3997.4778112795202</v>
      </c>
      <c r="S25" s="67"/>
    </row>
    <row r="26" spans="1:19" s="441" customFormat="1" ht="15.75" thickBot="1">
      <c r="A26" s="641" t="s">
        <v>865</v>
      </c>
      <c r="B26" s="757"/>
      <c r="C26" s="752">
        <f>SUM(C24:C25)</f>
        <v>2831.5275262923337</v>
      </c>
      <c r="D26" s="752">
        <f t="shared" ref="D26:R26" si="2">SUM(D24:D25)</f>
        <v>62537.142857142855</v>
      </c>
      <c r="E26" s="752">
        <f t="shared" si="2"/>
        <v>2932.0019718374401</v>
      </c>
      <c r="F26" s="752">
        <f t="shared" si="2"/>
        <v>15.914366620601049</v>
      </c>
      <c r="G26" s="752">
        <f t="shared" si="2"/>
        <v>6617.4495334207522</v>
      </c>
      <c r="H26" s="752">
        <f t="shared" si="2"/>
        <v>0</v>
      </c>
      <c r="I26" s="752">
        <f t="shared" si="2"/>
        <v>0</v>
      </c>
      <c r="J26" s="752">
        <f t="shared" si="2"/>
        <v>0</v>
      </c>
      <c r="K26" s="752">
        <f t="shared" si="2"/>
        <v>178.71712652342561</v>
      </c>
      <c r="L26" s="752">
        <f t="shared" si="2"/>
        <v>0</v>
      </c>
      <c r="M26" s="752">
        <f t="shared" si="2"/>
        <v>0</v>
      </c>
      <c r="N26" s="752">
        <f t="shared" si="2"/>
        <v>0</v>
      </c>
      <c r="O26" s="752">
        <f t="shared" si="2"/>
        <v>0</v>
      </c>
      <c r="P26" s="752">
        <f t="shared" si="2"/>
        <v>0</v>
      </c>
      <c r="Q26" s="752">
        <f t="shared" si="2"/>
        <v>0</v>
      </c>
      <c r="R26" s="752">
        <f t="shared" si="2"/>
        <v>75112.753381837392</v>
      </c>
      <c r="S26" s="67"/>
    </row>
    <row r="27" spans="1:19" s="441" customFormat="1" ht="17.25" thickTop="1" thickBot="1">
      <c r="A27" s="642" t="s">
        <v>109</v>
      </c>
      <c r="B27" s="744"/>
      <c r="C27" s="643">
        <f ca="1">C22+C16+C26</f>
        <v>85475.221660158233</v>
      </c>
      <c r="D27" s="643">
        <f t="shared" ref="D27:R27" ca="1" si="3">D22+D16+D26</f>
        <v>62537.142857142855</v>
      </c>
      <c r="E27" s="643">
        <f t="shared" ca="1" si="3"/>
        <v>159105.76362126987</v>
      </c>
      <c r="F27" s="643">
        <f t="shared" si="3"/>
        <v>2536.0263530877583</v>
      </c>
      <c r="G27" s="643">
        <f t="shared" ca="1" si="3"/>
        <v>45906.017241803558</v>
      </c>
      <c r="H27" s="643">
        <f t="shared" si="3"/>
        <v>203089.90508448772</v>
      </c>
      <c r="I27" s="643">
        <f t="shared" si="3"/>
        <v>31420.160811171136</v>
      </c>
      <c r="J27" s="643">
        <f t="shared" si="3"/>
        <v>0</v>
      </c>
      <c r="K27" s="643">
        <f t="shared" si="3"/>
        <v>891.72803243926126</v>
      </c>
      <c r="L27" s="643">
        <f t="shared" si="3"/>
        <v>0</v>
      </c>
      <c r="M27" s="643">
        <f t="shared" ca="1" si="3"/>
        <v>0</v>
      </c>
      <c r="N27" s="643">
        <f t="shared" si="3"/>
        <v>10194.455292462333</v>
      </c>
      <c r="O27" s="643">
        <f t="shared" ca="1" si="3"/>
        <v>10670.33759015724</v>
      </c>
      <c r="P27" s="643">
        <f t="shared" si="3"/>
        <v>46.9</v>
      </c>
      <c r="Q27" s="643">
        <f t="shared" si="3"/>
        <v>190.66666666666669</v>
      </c>
      <c r="R27" s="643">
        <f t="shared" ca="1" si="3"/>
        <v>612064.32521084673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8684.3597868690231</v>
      </c>
      <c r="D40" s="635">
        <f ca="1">tertiair!C20</f>
        <v>0</v>
      </c>
      <c r="E40" s="635">
        <f ca="1">tertiair!D20</f>
        <v>4780.8192376754587</v>
      </c>
      <c r="F40" s="635">
        <f>tertiair!E20</f>
        <v>119.45283178121147</v>
      </c>
      <c r="G40" s="635">
        <f ca="1">tertiair!F20</f>
        <v>2140.5715285655679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15725.203384891262</v>
      </c>
    </row>
    <row r="41" spans="1:18">
      <c r="A41" s="762" t="s">
        <v>214</v>
      </c>
      <c r="B41" s="769"/>
      <c r="C41" s="635">
        <f ca="1">huishoudens!B12</f>
        <v>6528.4909436001526</v>
      </c>
      <c r="D41" s="635">
        <f ca="1">huishoudens!C12</f>
        <v>0</v>
      </c>
      <c r="E41" s="635">
        <f>huishoudens!D12</f>
        <v>14146.187206391498</v>
      </c>
      <c r="F41" s="635">
        <f>huishoudens!E12</f>
        <v>183.47891904116219</v>
      </c>
      <c r="G41" s="635">
        <f>huishoudens!F12</f>
        <v>7366.5441315015714</v>
      </c>
      <c r="H41" s="635">
        <f>huishoudens!G12</f>
        <v>0</v>
      </c>
      <c r="I41" s="635">
        <f>huishoudens!H12</f>
        <v>0</v>
      </c>
      <c r="J41" s="635">
        <f>huishoudens!I12</f>
        <v>0</v>
      </c>
      <c r="K41" s="635">
        <f>huishoudens!J12</f>
        <v>219.92534729557883</v>
      </c>
      <c r="L41" s="635">
        <f>huishoudens!K12</f>
        <v>0</v>
      </c>
      <c r="M41" s="635">
        <f>huishoudens!L12</f>
        <v>0</v>
      </c>
      <c r="N41" s="635">
        <f>huishoudens!M12</f>
        <v>0</v>
      </c>
      <c r="O41" s="635">
        <f>huishoudens!N12</f>
        <v>0</v>
      </c>
      <c r="P41" s="635">
        <f>huishoudens!O12</f>
        <v>0</v>
      </c>
      <c r="Q41" s="710">
        <f>huishoudens!P12</f>
        <v>0</v>
      </c>
      <c r="R41" s="790">
        <f t="shared" ca="1" si="4"/>
        <v>28444.626547829961</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3424.2769055934336</v>
      </c>
      <c r="D43" s="635">
        <f ca="1">industrie!C22</f>
        <v>0</v>
      </c>
      <c r="E43" s="635">
        <f>industrie!D22</f>
        <v>12618.327431235903</v>
      </c>
      <c r="F43" s="635">
        <f>industrie!E22</f>
        <v>37.885098306032361</v>
      </c>
      <c r="G43" s="635">
        <f>industrie!F22</f>
        <v>982.93191807106996</v>
      </c>
      <c r="H43" s="635">
        <f>industrie!G22</f>
        <v>0</v>
      </c>
      <c r="I43" s="635">
        <f>industrie!H22</f>
        <v>0</v>
      </c>
      <c r="J43" s="635">
        <f>industrie!I22</f>
        <v>0</v>
      </c>
      <c r="K43" s="635">
        <f>industrie!J22</f>
        <v>32.480513398626975</v>
      </c>
      <c r="L43" s="635">
        <f>industrie!K22</f>
        <v>0</v>
      </c>
      <c r="M43" s="635">
        <f>industrie!L22</f>
        <v>0</v>
      </c>
      <c r="N43" s="635">
        <f>industrie!M22</f>
        <v>0</v>
      </c>
      <c r="O43" s="635">
        <f>industrie!N22</f>
        <v>0</v>
      </c>
      <c r="P43" s="635">
        <f>industrie!O22</f>
        <v>0</v>
      </c>
      <c r="Q43" s="710">
        <f>industrie!P22</f>
        <v>0</v>
      </c>
      <c r="R43" s="789">
        <f t="shared" ca="1" si="4"/>
        <v>17095.901866605065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18637.127636062611</v>
      </c>
      <c r="D46" s="668">
        <f t="shared" ref="D46:Q46" ca="1" si="5">SUM(D39:D45)</f>
        <v>0</v>
      </c>
      <c r="E46" s="668">
        <f t="shared" ca="1" si="5"/>
        <v>31545.333875302858</v>
      </c>
      <c r="F46" s="668">
        <f t="shared" si="5"/>
        <v>340.81684912840603</v>
      </c>
      <c r="G46" s="668">
        <f t="shared" ca="1" si="5"/>
        <v>10490.047578138208</v>
      </c>
      <c r="H46" s="668">
        <f t="shared" si="5"/>
        <v>0</v>
      </c>
      <c r="I46" s="668">
        <f t="shared" si="5"/>
        <v>0</v>
      </c>
      <c r="J46" s="668">
        <f t="shared" si="5"/>
        <v>0</v>
      </c>
      <c r="K46" s="668">
        <f t="shared" si="5"/>
        <v>252.40586069420581</v>
      </c>
      <c r="L46" s="668">
        <f t="shared" si="5"/>
        <v>0</v>
      </c>
      <c r="M46" s="668">
        <f t="shared" ca="1" si="5"/>
        <v>0</v>
      </c>
      <c r="N46" s="668">
        <f t="shared" si="5"/>
        <v>0</v>
      </c>
      <c r="O46" s="668">
        <f t="shared" ca="1" si="5"/>
        <v>0</v>
      </c>
      <c r="P46" s="668">
        <f t="shared" si="5"/>
        <v>0</v>
      </c>
      <c r="Q46" s="668">
        <f t="shared" si="5"/>
        <v>0</v>
      </c>
      <c r="R46" s="668">
        <f ca="1">SUM(R39:R45)</f>
        <v>61265.731799326284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2.3930781320910097</v>
      </c>
      <c r="D49" s="635">
        <f ca="1">transport!C58</f>
        <v>0</v>
      </c>
      <c r="E49" s="635">
        <f>transport!D58</f>
        <v>0</v>
      </c>
      <c r="F49" s="635">
        <f>transport!E58</f>
        <v>0</v>
      </c>
      <c r="G49" s="635">
        <f>transport!F58</f>
        <v>0</v>
      </c>
      <c r="H49" s="635">
        <f>transport!G58</f>
        <v>614.56455208686577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616.95763021895675</v>
      </c>
    </row>
    <row r="50" spans="1:18">
      <c r="A50" s="765" t="s">
        <v>296</v>
      </c>
      <c r="B50" s="775"/>
      <c r="C50" s="930">
        <f ca="1">transport!B18</f>
        <v>0.65108034029256723</v>
      </c>
      <c r="D50" s="930">
        <f>transport!C18</f>
        <v>0</v>
      </c>
      <c r="E50" s="930">
        <f>transport!D18</f>
        <v>1.7659778824923051</v>
      </c>
      <c r="F50" s="930">
        <f>transport!E18</f>
        <v>231.2485717996386</v>
      </c>
      <c r="G50" s="930">
        <f>transport!F18</f>
        <v>0</v>
      </c>
      <c r="H50" s="930">
        <f>transport!G18</f>
        <v>53610.44010547136</v>
      </c>
      <c r="I50" s="930">
        <f>transport!H18</f>
        <v>7823.6200419816132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61667.725777475396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3.0441584723835771</v>
      </c>
      <c r="D52" s="668">
        <f t="shared" ref="D52:Q52" ca="1" si="6">SUM(D48:D51)</f>
        <v>0</v>
      </c>
      <c r="E52" s="668">
        <f t="shared" si="6"/>
        <v>1.7659778824923051</v>
      </c>
      <c r="F52" s="668">
        <f t="shared" si="6"/>
        <v>231.2485717996386</v>
      </c>
      <c r="G52" s="668">
        <f t="shared" si="6"/>
        <v>0</v>
      </c>
      <c r="H52" s="668">
        <f t="shared" si="6"/>
        <v>54225.004657558224</v>
      </c>
      <c r="I52" s="668">
        <f t="shared" si="6"/>
        <v>7823.6200419816132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62284.683407694356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398.33053430058652</v>
      </c>
      <c r="D54" s="930">
        <f ca="1">+landbouw!C12</f>
        <v>14861.768067226891</v>
      </c>
      <c r="E54" s="930">
        <f>+landbouw!D12</f>
        <v>0</v>
      </c>
      <c r="F54" s="930">
        <f>+landbouw!E12</f>
        <v>3.6125612228764381</v>
      </c>
      <c r="G54" s="930">
        <f>+landbouw!F12</f>
        <v>1766.8590254233409</v>
      </c>
      <c r="H54" s="930">
        <f>+landbouw!G12</f>
        <v>0</v>
      </c>
      <c r="I54" s="930">
        <f>+landbouw!H12</f>
        <v>0</v>
      </c>
      <c r="J54" s="930">
        <f>+landbouw!I12</f>
        <v>0</v>
      </c>
      <c r="K54" s="930">
        <f>+landbouw!J12</f>
        <v>63.265862789292662</v>
      </c>
      <c r="L54" s="930">
        <f>+landbouw!K12</f>
        <v>0</v>
      </c>
      <c r="M54" s="930">
        <f>+landbouw!L12</f>
        <v>0</v>
      </c>
      <c r="N54" s="930">
        <f>+landbouw!M12</f>
        <v>0</v>
      </c>
      <c r="O54" s="930">
        <f>+landbouw!N12</f>
        <v>0</v>
      </c>
      <c r="P54" s="930">
        <f>+landbouw!O12</f>
        <v>0</v>
      </c>
      <c r="Q54" s="931">
        <f>+landbouw!P12</f>
        <v>0</v>
      </c>
      <c r="R54" s="667">
        <f ca="1">SUM(C54:Q54)</f>
        <v>17093.836050962989</v>
      </c>
    </row>
    <row r="55" spans="1:18" ht="15" thickBot="1">
      <c r="A55" s="765" t="s">
        <v>864</v>
      </c>
      <c r="B55" s="775"/>
      <c r="C55" s="930">
        <f ca="1">C25*'EF ele_warmte'!B12</f>
        <v>240.31661336382851</v>
      </c>
      <c r="D55" s="930"/>
      <c r="E55" s="930">
        <f>E25*EF_CO2_aardgas</f>
        <v>592.26439831116295</v>
      </c>
      <c r="F55" s="930"/>
      <c r="G55" s="930"/>
      <c r="H55" s="930"/>
      <c r="I55" s="930"/>
      <c r="J55" s="930"/>
      <c r="K55" s="930"/>
      <c r="L55" s="930"/>
      <c r="M55" s="930"/>
      <c r="N55" s="930"/>
      <c r="O55" s="930"/>
      <c r="P55" s="930"/>
      <c r="Q55" s="931"/>
      <c r="R55" s="667">
        <f ca="1">SUM(C55:Q55)</f>
        <v>832.58101167499149</v>
      </c>
    </row>
    <row r="56" spans="1:18" ht="15.75" thickBot="1">
      <c r="A56" s="763" t="s">
        <v>865</v>
      </c>
      <c r="B56" s="776"/>
      <c r="C56" s="668">
        <f ca="1">SUM(C54:C55)</f>
        <v>638.647147664415</v>
      </c>
      <c r="D56" s="668">
        <f t="shared" ref="D56:Q56" ca="1" si="7">SUM(D54:D55)</f>
        <v>14861.768067226891</v>
      </c>
      <c r="E56" s="668">
        <f t="shared" si="7"/>
        <v>592.26439831116295</v>
      </c>
      <c r="F56" s="668">
        <f t="shared" si="7"/>
        <v>3.6125612228764381</v>
      </c>
      <c r="G56" s="668">
        <f t="shared" si="7"/>
        <v>1766.8590254233409</v>
      </c>
      <c r="H56" s="668">
        <f t="shared" si="7"/>
        <v>0</v>
      </c>
      <c r="I56" s="668">
        <f t="shared" si="7"/>
        <v>0</v>
      </c>
      <c r="J56" s="668">
        <f t="shared" si="7"/>
        <v>0</v>
      </c>
      <c r="K56" s="668">
        <f t="shared" si="7"/>
        <v>63.265862789292662</v>
      </c>
      <c r="L56" s="668">
        <f t="shared" si="7"/>
        <v>0</v>
      </c>
      <c r="M56" s="668">
        <f t="shared" si="7"/>
        <v>0</v>
      </c>
      <c r="N56" s="668">
        <f t="shared" si="7"/>
        <v>0</v>
      </c>
      <c r="O56" s="668">
        <f t="shared" si="7"/>
        <v>0</v>
      </c>
      <c r="P56" s="668">
        <f t="shared" si="7"/>
        <v>0</v>
      </c>
      <c r="Q56" s="669">
        <f t="shared" si="7"/>
        <v>0</v>
      </c>
      <c r="R56" s="670">
        <f ca="1">SUM(R54:R55)</f>
        <v>17926.417062637982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19278.81894219941</v>
      </c>
      <c r="D61" s="676">
        <f t="shared" ref="D61:Q61" ca="1" si="8">D46+D52+D56</f>
        <v>14861.768067226891</v>
      </c>
      <c r="E61" s="676">
        <f t="shared" ca="1" si="8"/>
        <v>32139.364251496514</v>
      </c>
      <c r="F61" s="676">
        <f t="shared" si="8"/>
        <v>575.67798215092114</v>
      </c>
      <c r="G61" s="676">
        <f t="shared" ca="1" si="8"/>
        <v>12256.906603561549</v>
      </c>
      <c r="H61" s="676">
        <f t="shared" si="8"/>
        <v>54225.004657558224</v>
      </c>
      <c r="I61" s="676">
        <f t="shared" si="8"/>
        <v>7823.6200419816132</v>
      </c>
      <c r="J61" s="676">
        <f t="shared" si="8"/>
        <v>0</v>
      </c>
      <c r="K61" s="676">
        <f t="shared" si="8"/>
        <v>315.67172348349845</v>
      </c>
      <c r="L61" s="676">
        <f t="shared" si="8"/>
        <v>0</v>
      </c>
      <c r="M61" s="676">
        <f t="shared" ca="1" si="8"/>
        <v>0</v>
      </c>
      <c r="N61" s="676">
        <f t="shared" si="8"/>
        <v>0</v>
      </c>
      <c r="O61" s="676">
        <f t="shared" ca="1" si="8"/>
        <v>0</v>
      </c>
      <c r="P61" s="676">
        <f t="shared" si="8"/>
        <v>0</v>
      </c>
      <c r="Q61" s="676">
        <f t="shared" si="8"/>
        <v>0</v>
      </c>
      <c r="R61" s="676">
        <f ca="1">R46+R52+R56</f>
        <v>141476.83226965863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0.22554862763445357</v>
      </c>
      <c r="D63" s="720">
        <f t="shared" ca="1" si="9"/>
        <v>0.23764705882352941</v>
      </c>
      <c r="E63" s="932">
        <f t="shared" ca="1" si="9"/>
        <v>0.20200000000000001</v>
      </c>
      <c r="F63" s="720">
        <f t="shared" si="9"/>
        <v>0.22700000000000001</v>
      </c>
      <c r="G63" s="720">
        <f t="shared" ca="1" si="9"/>
        <v>0.26699999999999996</v>
      </c>
      <c r="H63" s="720">
        <f t="shared" si="9"/>
        <v>0.26700000000000002</v>
      </c>
      <c r="I63" s="720">
        <f t="shared" si="9"/>
        <v>0.24900000000000003</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1538.2203246804604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43776</v>
      </c>
      <c r="D76" s="942">
        <f>'lokale energieproductie'!C8</f>
        <v>51501.176470588231</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10403.237647058822</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1538.2203246804604</v>
      </c>
      <c r="C78" s="691">
        <f>SUM(C72:C77)</f>
        <v>43776</v>
      </c>
      <c r="D78" s="692">
        <f t="shared" ref="D78:H78" si="10">SUM(D76:D77)</f>
        <v>51501.176470588231</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10403.237647058822</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62537.142857142855</v>
      </c>
      <c r="D87" s="713">
        <f>'lokale energieproductie'!C17</f>
        <v>73573.109243697472</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14861.768067226891</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62537.142857142855</v>
      </c>
      <c r="D90" s="691">
        <f t="shared" ref="D90:H90" si="12">SUM(D87:D89)</f>
        <v>73573.109243697472</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14861.768067226891</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28944.937559898928</v>
      </c>
      <c r="C4" s="445">
        <f>huishoudens!C8</f>
        <v>0</v>
      </c>
      <c r="D4" s="445">
        <f>huishoudens!D8</f>
        <v>70030.629734611372</v>
      </c>
      <c r="E4" s="445">
        <f>huishoudens!E8</f>
        <v>808.2771763927849</v>
      </c>
      <c r="F4" s="445">
        <f>huishoudens!F8</f>
        <v>27590.052926972177</v>
      </c>
      <c r="G4" s="445">
        <f>huishoudens!G8</f>
        <v>0</v>
      </c>
      <c r="H4" s="445">
        <f>huishoudens!H8</f>
        <v>0</v>
      </c>
      <c r="I4" s="445">
        <f>huishoudens!I8</f>
        <v>0</v>
      </c>
      <c r="J4" s="445">
        <f>huishoudens!J8</f>
        <v>621.25804320784982</v>
      </c>
      <c r="K4" s="445">
        <f>huishoudens!K8</f>
        <v>0</v>
      </c>
      <c r="L4" s="445">
        <f>huishoudens!L8</f>
        <v>0</v>
      </c>
      <c r="M4" s="445">
        <f>huishoudens!M8</f>
        <v>0</v>
      </c>
      <c r="N4" s="445">
        <f>huishoudens!N8</f>
        <v>6875.5200976368942</v>
      </c>
      <c r="O4" s="445">
        <f>huishoudens!O8</f>
        <v>46.9</v>
      </c>
      <c r="P4" s="446">
        <f>huishoudens!P8</f>
        <v>190.66666666666669</v>
      </c>
      <c r="Q4" s="447">
        <f>SUM(B4:P4)</f>
        <v>135108.24220538666</v>
      </c>
    </row>
    <row r="5" spans="1:17">
      <c r="A5" s="444" t="s">
        <v>149</v>
      </c>
      <c r="B5" s="445">
        <f ca="1">tertiair!B16</f>
        <v>37460.601349947581</v>
      </c>
      <c r="C5" s="445">
        <f ca="1">tertiair!C16</f>
        <v>0</v>
      </c>
      <c r="D5" s="445">
        <f ca="1">tertiair!D16</f>
        <v>23667.421968690389</v>
      </c>
      <c r="E5" s="445">
        <f>tertiair!E16</f>
        <v>526.22392855159239</v>
      </c>
      <c r="F5" s="445">
        <f ca="1">tertiair!F16</f>
        <v>8017.1218298335871</v>
      </c>
      <c r="G5" s="445">
        <f>tertiair!G16</f>
        <v>0</v>
      </c>
      <c r="H5" s="445">
        <f>tertiair!H16</f>
        <v>0</v>
      </c>
      <c r="I5" s="445">
        <f>tertiair!I16</f>
        <v>0</v>
      </c>
      <c r="J5" s="445">
        <f>tertiair!J16</f>
        <v>0</v>
      </c>
      <c r="K5" s="445">
        <f>tertiair!K16</f>
        <v>0</v>
      </c>
      <c r="L5" s="445">
        <f ca="1">tertiair!L16</f>
        <v>0</v>
      </c>
      <c r="M5" s="445">
        <f>tertiair!M16</f>
        <v>0</v>
      </c>
      <c r="N5" s="445">
        <f ca="1">tertiair!N16</f>
        <v>3470.4364798908205</v>
      </c>
      <c r="O5" s="445">
        <f>tertiair!O16</f>
        <v>0</v>
      </c>
      <c r="P5" s="446">
        <f>tertiair!P16</f>
        <v>0</v>
      </c>
      <c r="Q5" s="444">
        <f t="shared" ref="Q5:Q14" ca="1" si="0">SUM(B5:P5)</f>
        <v>73141.805556913969</v>
      </c>
    </row>
    <row r="6" spans="1:17">
      <c r="A6" s="444" t="s">
        <v>187</v>
      </c>
      <c r="B6" s="445">
        <f>'openbare verlichting'!B8</f>
        <v>1042.6690000000001</v>
      </c>
      <c r="C6" s="445"/>
      <c r="D6" s="445"/>
      <c r="E6" s="445"/>
      <c r="F6" s="445"/>
      <c r="G6" s="445"/>
      <c r="H6" s="445"/>
      <c r="I6" s="445"/>
      <c r="J6" s="445"/>
      <c r="K6" s="445"/>
      <c r="L6" s="445"/>
      <c r="M6" s="445"/>
      <c r="N6" s="445"/>
      <c r="O6" s="445"/>
      <c r="P6" s="446"/>
      <c r="Q6" s="444">
        <f t="shared" si="0"/>
        <v>1042.6690000000001</v>
      </c>
    </row>
    <row r="7" spans="1:17">
      <c r="A7" s="444" t="s">
        <v>105</v>
      </c>
      <c r="B7" s="445">
        <f>landbouw!B8</f>
        <v>1766.0516868502539</v>
      </c>
      <c r="C7" s="445">
        <f>landbouw!C8</f>
        <v>62537.142857142855</v>
      </c>
      <c r="D7" s="445">
        <f>landbouw!D8</f>
        <v>0</v>
      </c>
      <c r="E7" s="445">
        <f>landbouw!E8</f>
        <v>15.914366620601049</v>
      </c>
      <c r="F7" s="445">
        <f>landbouw!F8</f>
        <v>6617.4495334207522</v>
      </c>
      <c r="G7" s="445">
        <f>landbouw!G8</f>
        <v>0</v>
      </c>
      <c r="H7" s="445">
        <f>landbouw!H8</f>
        <v>0</v>
      </c>
      <c r="I7" s="445">
        <f>landbouw!I8</f>
        <v>0</v>
      </c>
      <c r="J7" s="445">
        <f>landbouw!J8</f>
        <v>178.71712652342561</v>
      </c>
      <c r="K7" s="445">
        <f>landbouw!K8</f>
        <v>0</v>
      </c>
      <c r="L7" s="445">
        <f>landbouw!L8</f>
        <v>0</v>
      </c>
      <c r="M7" s="445">
        <f>landbouw!M8</f>
        <v>0</v>
      </c>
      <c r="N7" s="445">
        <f>landbouw!N8</f>
        <v>0</v>
      </c>
      <c r="O7" s="445">
        <f>landbouw!O8</f>
        <v>0</v>
      </c>
      <c r="P7" s="446">
        <f>landbouw!P8</f>
        <v>0</v>
      </c>
      <c r="Q7" s="444">
        <f t="shared" si="0"/>
        <v>71115.275570557875</v>
      </c>
    </row>
    <row r="8" spans="1:17">
      <c r="A8" s="444" t="s">
        <v>613</v>
      </c>
      <c r="B8" s="445">
        <f>industrie!B18</f>
        <v>15181.989540380426</v>
      </c>
      <c r="C8" s="445">
        <f>industrie!C18</f>
        <v>0</v>
      </c>
      <c r="D8" s="445">
        <f>industrie!D18</f>
        <v>62466.967481365849</v>
      </c>
      <c r="E8" s="445">
        <f>industrie!E18</f>
        <v>166.89470619397514</v>
      </c>
      <c r="F8" s="445">
        <f>industrie!F18</f>
        <v>3681.392951577041</v>
      </c>
      <c r="G8" s="445">
        <f>industrie!G18</f>
        <v>0</v>
      </c>
      <c r="H8" s="445">
        <f>industrie!H18</f>
        <v>0</v>
      </c>
      <c r="I8" s="445">
        <f>industrie!I18</f>
        <v>0</v>
      </c>
      <c r="J8" s="445">
        <f>industrie!J18</f>
        <v>91.752862707985813</v>
      </c>
      <c r="K8" s="445">
        <f>industrie!K18</f>
        <v>0</v>
      </c>
      <c r="L8" s="445">
        <f>industrie!L18</f>
        <v>0</v>
      </c>
      <c r="M8" s="445">
        <f>industrie!M18</f>
        <v>0</v>
      </c>
      <c r="N8" s="445">
        <f>industrie!N18</f>
        <v>324.38101262952483</v>
      </c>
      <c r="O8" s="445">
        <f>industrie!O18</f>
        <v>0</v>
      </c>
      <c r="P8" s="446">
        <f>industrie!P18</f>
        <v>0</v>
      </c>
      <c r="Q8" s="444">
        <f t="shared" si="0"/>
        <v>81913.378554854804</v>
      </c>
    </row>
    <row r="9" spans="1:17" s="450" customFormat="1">
      <c r="A9" s="448" t="s">
        <v>555</v>
      </c>
      <c r="B9" s="449">
        <f>transport!B14</f>
        <v>2.8866517483217518</v>
      </c>
      <c r="C9" s="449">
        <f>transport!C14</f>
        <v>0</v>
      </c>
      <c r="D9" s="449">
        <f>transport!D14</f>
        <v>8.7424647648133913</v>
      </c>
      <c r="E9" s="449">
        <f>transport!E14</f>
        <v>1018.7161753288044</v>
      </c>
      <c r="F9" s="449">
        <f>transport!F14</f>
        <v>0</v>
      </c>
      <c r="G9" s="449">
        <f>transport!G14</f>
        <v>200788.16518903131</v>
      </c>
      <c r="H9" s="449">
        <f>transport!H14</f>
        <v>31420.160811171136</v>
      </c>
      <c r="I9" s="449">
        <f>transport!I14</f>
        <v>0</v>
      </c>
      <c r="J9" s="449">
        <f>transport!J14</f>
        <v>0</v>
      </c>
      <c r="K9" s="449">
        <f>transport!K14</f>
        <v>0</v>
      </c>
      <c r="L9" s="449">
        <f>transport!L14</f>
        <v>0</v>
      </c>
      <c r="M9" s="449">
        <f>transport!M14</f>
        <v>10095.903631695024</v>
      </c>
      <c r="N9" s="449">
        <f>transport!N14</f>
        <v>0</v>
      </c>
      <c r="O9" s="449">
        <f>transport!O14</f>
        <v>0</v>
      </c>
      <c r="P9" s="449">
        <f>transport!P14</f>
        <v>0</v>
      </c>
      <c r="Q9" s="448">
        <f>SUM(B9:P9)</f>
        <v>243334.57492373942</v>
      </c>
    </row>
    <row r="10" spans="1:17">
      <c r="A10" s="444" t="s">
        <v>545</v>
      </c>
      <c r="B10" s="445">
        <f>transport!B54</f>
        <v>10.610031890637211</v>
      </c>
      <c r="C10" s="445">
        <f>transport!C54</f>
        <v>0</v>
      </c>
      <c r="D10" s="445">
        <f>transport!D54</f>
        <v>0</v>
      </c>
      <c r="E10" s="445">
        <f>transport!E54</f>
        <v>0</v>
      </c>
      <c r="F10" s="445">
        <f>transport!F54</f>
        <v>0</v>
      </c>
      <c r="G10" s="445">
        <f>transport!G54</f>
        <v>2301.739895456426</v>
      </c>
      <c r="H10" s="445">
        <f>transport!H54</f>
        <v>0</v>
      </c>
      <c r="I10" s="445">
        <f>transport!I54</f>
        <v>0</v>
      </c>
      <c r="J10" s="445">
        <f>transport!J54</f>
        <v>0</v>
      </c>
      <c r="K10" s="445">
        <f>transport!K54</f>
        <v>0</v>
      </c>
      <c r="L10" s="445">
        <f>transport!L54</f>
        <v>0</v>
      </c>
      <c r="M10" s="445">
        <f>transport!M54</f>
        <v>98.551660767308661</v>
      </c>
      <c r="N10" s="445">
        <f>transport!N54</f>
        <v>0</v>
      </c>
      <c r="O10" s="445">
        <f>transport!O54</f>
        <v>0</v>
      </c>
      <c r="P10" s="446">
        <f>transport!P54</f>
        <v>0</v>
      </c>
      <c r="Q10" s="444">
        <f t="shared" si="0"/>
        <v>2410.9015881143719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1065.4758394420799</v>
      </c>
      <c r="C14" s="452"/>
      <c r="D14" s="452">
        <f>'SEAP template'!E25</f>
        <v>2932.0019718374401</v>
      </c>
      <c r="E14" s="452"/>
      <c r="F14" s="452"/>
      <c r="G14" s="452"/>
      <c r="H14" s="452"/>
      <c r="I14" s="452"/>
      <c r="J14" s="452"/>
      <c r="K14" s="452"/>
      <c r="L14" s="452"/>
      <c r="M14" s="452"/>
      <c r="N14" s="452"/>
      <c r="O14" s="452"/>
      <c r="P14" s="453"/>
      <c r="Q14" s="444">
        <f t="shared" si="0"/>
        <v>3997.4778112795202</v>
      </c>
    </row>
    <row r="15" spans="1:17" s="457" customFormat="1">
      <c r="A15" s="454" t="s">
        <v>549</v>
      </c>
      <c r="B15" s="455">
        <f ca="1">SUM(B4:B14)</f>
        <v>85475.221660158233</v>
      </c>
      <c r="C15" s="455">
        <f t="shared" ref="C15:Q15" ca="1" si="1">SUM(C4:C14)</f>
        <v>62537.142857142855</v>
      </c>
      <c r="D15" s="455">
        <f t="shared" ca="1" si="1"/>
        <v>159105.76362126987</v>
      </c>
      <c r="E15" s="455">
        <f t="shared" si="1"/>
        <v>2536.0263530877583</v>
      </c>
      <c r="F15" s="455">
        <f t="shared" ca="1" si="1"/>
        <v>45906.017241803558</v>
      </c>
      <c r="G15" s="455">
        <f t="shared" si="1"/>
        <v>203089.90508448772</v>
      </c>
      <c r="H15" s="455">
        <f t="shared" si="1"/>
        <v>31420.160811171136</v>
      </c>
      <c r="I15" s="455">
        <f t="shared" si="1"/>
        <v>0</v>
      </c>
      <c r="J15" s="455">
        <f t="shared" si="1"/>
        <v>891.72803243926126</v>
      </c>
      <c r="K15" s="455">
        <f t="shared" si="1"/>
        <v>0</v>
      </c>
      <c r="L15" s="455">
        <f t="shared" ca="1" si="1"/>
        <v>0</v>
      </c>
      <c r="M15" s="455">
        <f t="shared" si="1"/>
        <v>10194.455292462333</v>
      </c>
      <c r="N15" s="455">
        <f t="shared" ca="1" si="1"/>
        <v>10670.33759015724</v>
      </c>
      <c r="O15" s="455">
        <f t="shared" si="1"/>
        <v>46.9</v>
      </c>
      <c r="P15" s="455">
        <f t="shared" si="1"/>
        <v>190.66666666666669</v>
      </c>
      <c r="Q15" s="455">
        <f t="shared" ca="1" si="1"/>
        <v>612064.32521084649</v>
      </c>
    </row>
    <row r="17" spans="1:17">
      <c r="A17" s="458" t="s">
        <v>550</v>
      </c>
      <c r="B17" s="725">
        <f ca="1">huishoudens!B10</f>
        <v>0.22554862763445357</v>
      </c>
      <c r="C17" s="725">
        <f ca="1">huishoudens!C10</f>
        <v>0.23764705882352941</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6528.4909436001526</v>
      </c>
      <c r="C22" s="445">
        <f t="shared" ref="C22:C32" ca="1" si="3">C4*$C$17</f>
        <v>0</v>
      </c>
      <c r="D22" s="445">
        <f t="shared" ref="D22:D32" si="4">D4*$D$17</f>
        <v>14146.187206391498</v>
      </c>
      <c r="E22" s="445">
        <f t="shared" ref="E22:E32" si="5">E4*$E$17</f>
        <v>183.47891904116219</v>
      </c>
      <c r="F22" s="445">
        <f t="shared" ref="F22:F32" si="6">F4*$F$17</f>
        <v>7366.5441315015714</v>
      </c>
      <c r="G22" s="445">
        <f t="shared" ref="G22:G32" si="7">G4*$G$17</f>
        <v>0</v>
      </c>
      <c r="H22" s="445">
        <f t="shared" ref="H22:H32" si="8">H4*$H$17</f>
        <v>0</v>
      </c>
      <c r="I22" s="445">
        <f t="shared" ref="I22:I32" si="9">I4*$I$17</f>
        <v>0</v>
      </c>
      <c r="J22" s="445">
        <f t="shared" ref="J22:J32" si="10">J4*$J$17</f>
        <v>219.92534729557883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28444.626547829961</v>
      </c>
    </row>
    <row r="23" spans="1:17">
      <c r="A23" s="444" t="s">
        <v>149</v>
      </c>
      <c r="B23" s="445">
        <f t="shared" ca="1" si="2"/>
        <v>8449.187224842035</v>
      </c>
      <c r="C23" s="445">
        <f t="shared" ca="1" si="3"/>
        <v>0</v>
      </c>
      <c r="D23" s="445">
        <f t="shared" ca="1" si="4"/>
        <v>4780.8192376754587</v>
      </c>
      <c r="E23" s="445">
        <f t="shared" si="5"/>
        <v>119.45283178121147</v>
      </c>
      <c r="F23" s="445">
        <f t="shared" ca="1" si="6"/>
        <v>2140.5715285655679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15490.030822864272</v>
      </c>
    </row>
    <row r="24" spans="1:17">
      <c r="A24" s="444" t="s">
        <v>187</v>
      </c>
      <c r="B24" s="445">
        <f t="shared" ca="1" si="2"/>
        <v>235.17256202698809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235.17256202698809</v>
      </c>
    </row>
    <row r="25" spans="1:17">
      <c r="A25" s="444" t="s">
        <v>105</v>
      </c>
      <c r="B25" s="445">
        <f t="shared" ca="1" si="2"/>
        <v>398.33053430058652</v>
      </c>
      <c r="C25" s="445">
        <f t="shared" ca="1" si="3"/>
        <v>14861.768067226891</v>
      </c>
      <c r="D25" s="445">
        <f t="shared" si="4"/>
        <v>0</v>
      </c>
      <c r="E25" s="445">
        <f t="shared" si="5"/>
        <v>3.6125612228764381</v>
      </c>
      <c r="F25" s="445">
        <f t="shared" si="6"/>
        <v>1766.8590254233409</v>
      </c>
      <c r="G25" s="445">
        <f t="shared" si="7"/>
        <v>0</v>
      </c>
      <c r="H25" s="445">
        <f t="shared" si="8"/>
        <v>0</v>
      </c>
      <c r="I25" s="445">
        <f t="shared" si="9"/>
        <v>0</v>
      </c>
      <c r="J25" s="445">
        <f t="shared" si="10"/>
        <v>63.265862789292662</v>
      </c>
      <c r="K25" s="445">
        <f t="shared" si="11"/>
        <v>0</v>
      </c>
      <c r="L25" s="445">
        <f t="shared" si="12"/>
        <v>0</v>
      </c>
      <c r="M25" s="445">
        <f t="shared" si="13"/>
        <v>0</v>
      </c>
      <c r="N25" s="445">
        <f t="shared" si="14"/>
        <v>0</v>
      </c>
      <c r="O25" s="445">
        <f t="shared" si="15"/>
        <v>0</v>
      </c>
      <c r="P25" s="446">
        <f t="shared" si="16"/>
        <v>0</v>
      </c>
      <c r="Q25" s="444">
        <f t="shared" ca="1" si="17"/>
        <v>17093.836050962989</v>
      </c>
    </row>
    <row r="26" spans="1:17">
      <c r="A26" s="444" t="s">
        <v>613</v>
      </c>
      <c r="B26" s="445">
        <f t="shared" ca="1" si="2"/>
        <v>3424.2769055934336</v>
      </c>
      <c r="C26" s="445">
        <f t="shared" ca="1" si="3"/>
        <v>0</v>
      </c>
      <c r="D26" s="445">
        <f t="shared" si="4"/>
        <v>12618.327431235903</v>
      </c>
      <c r="E26" s="445">
        <f t="shared" si="5"/>
        <v>37.885098306032361</v>
      </c>
      <c r="F26" s="445">
        <f t="shared" si="6"/>
        <v>982.93191807106996</v>
      </c>
      <c r="G26" s="445">
        <f t="shared" si="7"/>
        <v>0</v>
      </c>
      <c r="H26" s="445">
        <f t="shared" si="8"/>
        <v>0</v>
      </c>
      <c r="I26" s="445">
        <f t="shared" si="9"/>
        <v>0</v>
      </c>
      <c r="J26" s="445">
        <f t="shared" si="10"/>
        <v>32.480513398626975</v>
      </c>
      <c r="K26" s="445">
        <f t="shared" si="11"/>
        <v>0</v>
      </c>
      <c r="L26" s="445">
        <f t="shared" si="12"/>
        <v>0</v>
      </c>
      <c r="M26" s="445">
        <f t="shared" si="13"/>
        <v>0</v>
      </c>
      <c r="N26" s="445">
        <f t="shared" si="14"/>
        <v>0</v>
      </c>
      <c r="O26" s="445">
        <f t="shared" si="15"/>
        <v>0</v>
      </c>
      <c r="P26" s="446">
        <f t="shared" si="16"/>
        <v>0</v>
      </c>
      <c r="Q26" s="444">
        <f t="shared" ca="1" si="17"/>
        <v>17095.901866605065</v>
      </c>
    </row>
    <row r="27" spans="1:17" s="450" customFormat="1">
      <c r="A27" s="448" t="s">
        <v>555</v>
      </c>
      <c r="B27" s="719">
        <f t="shared" ca="1" si="2"/>
        <v>0.65108034029256723</v>
      </c>
      <c r="C27" s="449">
        <f t="shared" ca="1" si="3"/>
        <v>0</v>
      </c>
      <c r="D27" s="449">
        <f t="shared" si="4"/>
        <v>1.7659778824923051</v>
      </c>
      <c r="E27" s="449">
        <f t="shared" si="5"/>
        <v>231.2485717996386</v>
      </c>
      <c r="F27" s="449">
        <f t="shared" si="6"/>
        <v>0</v>
      </c>
      <c r="G27" s="449">
        <f t="shared" si="7"/>
        <v>53610.44010547136</v>
      </c>
      <c r="H27" s="449">
        <f t="shared" si="8"/>
        <v>7823.6200419816132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61667.725777475396</v>
      </c>
    </row>
    <row r="28" spans="1:17">
      <c r="A28" s="444" t="s">
        <v>545</v>
      </c>
      <c r="B28" s="445">
        <f t="shared" ca="1" si="2"/>
        <v>2.3930781320910097</v>
      </c>
      <c r="C28" s="445">
        <f t="shared" ca="1" si="3"/>
        <v>0</v>
      </c>
      <c r="D28" s="445">
        <f t="shared" si="4"/>
        <v>0</v>
      </c>
      <c r="E28" s="445">
        <f t="shared" si="5"/>
        <v>0</v>
      </c>
      <c r="F28" s="445">
        <f t="shared" si="6"/>
        <v>0</v>
      </c>
      <c r="G28" s="445">
        <f t="shared" si="7"/>
        <v>614.56455208686577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616.95763021895675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240.31661336382851</v>
      </c>
      <c r="C32" s="445">
        <f t="shared" ca="1" si="3"/>
        <v>0</v>
      </c>
      <c r="D32" s="445">
        <f t="shared" si="4"/>
        <v>592.26439831116295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832.58101167499149</v>
      </c>
    </row>
    <row r="33" spans="1:17" s="457" customFormat="1">
      <c r="A33" s="454" t="s">
        <v>549</v>
      </c>
      <c r="B33" s="455">
        <f ca="1">SUM(B22:B32)</f>
        <v>19278.81894219941</v>
      </c>
      <c r="C33" s="455">
        <f t="shared" ref="C33:Q33" ca="1" si="19">SUM(C22:C32)</f>
        <v>14861.768067226891</v>
      </c>
      <c r="D33" s="455">
        <f t="shared" ca="1" si="19"/>
        <v>32139.364251496514</v>
      </c>
      <c r="E33" s="455">
        <f t="shared" si="19"/>
        <v>575.67798215092103</v>
      </c>
      <c r="F33" s="455">
        <f t="shared" ca="1" si="19"/>
        <v>12256.906603561549</v>
      </c>
      <c r="G33" s="455">
        <f t="shared" si="19"/>
        <v>54225.004657558224</v>
      </c>
      <c r="H33" s="455">
        <f t="shared" si="19"/>
        <v>7823.6200419816132</v>
      </c>
      <c r="I33" s="455">
        <f t="shared" si="19"/>
        <v>0</v>
      </c>
      <c r="J33" s="455">
        <f t="shared" si="19"/>
        <v>315.67172348349845</v>
      </c>
      <c r="K33" s="455">
        <f t="shared" si="19"/>
        <v>0</v>
      </c>
      <c r="L33" s="455">
        <f t="shared" ca="1" si="19"/>
        <v>0</v>
      </c>
      <c r="M33" s="455">
        <f t="shared" si="19"/>
        <v>0</v>
      </c>
      <c r="N33" s="455">
        <f t="shared" ca="1" si="19"/>
        <v>0</v>
      </c>
      <c r="O33" s="455">
        <f t="shared" si="19"/>
        <v>0</v>
      </c>
      <c r="P33" s="455">
        <f t="shared" si="19"/>
        <v>0</v>
      </c>
      <c r="Q33" s="455">
        <f t="shared" ca="1" si="19"/>
        <v>141476.83226965863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1538.2203246804604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43776</v>
      </c>
      <c r="D8" s="963">
        <f>'SEAP template'!D76</f>
        <v>51501.176470588231</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10403.237647058822</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1538.2203246804604</v>
      </c>
      <c r="C10" s="967">
        <f>SUM(C4:C9)</f>
        <v>43776</v>
      </c>
      <c r="D10" s="967">
        <f t="shared" ref="D10:H10" si="0">SUM(D8:D9)</f>
        <v>51501.176470588231</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10403.237647058822</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0.22554862763445357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62537.142857142855</v>
      </c>
      <c r="D17" s="964">
        <f>'SEAP template'!D87</f>
        <v>73573.109243697472</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14861.768067226891</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62537.142857142855</v>
      </c>
      <c r="D20" s="967">
        <f t="shared" ref="D20:H20" si="2">SUM(D17:D19)</f>
        <v>73573.109243697472</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14861.768067226891</v>
      </c>
    </row>
    <row r="22" spans="1:16">
      <c r="A22" s="458" t="s">
        <v>885</v>
      </c>
      <c r="B22" s="725" t="s">
        <v>879</v>
      </c>
      <c r="C22" s="725">
        <f ca="1">'EF ele_warmte'!B22</f>
        <v>0.23764705882352941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0.22554862763445357</v>
      </c>
      <c r="C17" s="494">
        <f ca="1">'EF ele_warmte'!B22</f>
        <v>0.23764705882352941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2022-07-26T12:43:31Z</dcterms:modified>
</cp:coreProperties>
</file>