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B53D3FCB-5E42-4FC6-A609-0A9EEF0332D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<sst xmlns="http://schemas.openxmlformats.org/spreadsheetml/2006/main" count="2513" uniqueCount="962">
  <si>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</si>
  <si>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</si>
  <si>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</si>
  <si>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</si>
  <si>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</si>
  <si>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</si>
  <si>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</si>
  <si>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</si>
  <si>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</si>
  <si>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</si>
  <si>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</si>
  <si>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</si>
  <si>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</si>
  <si>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</si>
  <si>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</si>
  <si>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</si>
  <si>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</si>
  <si>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</si>
  <si>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</si>
  <si>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</si>
  <si>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</si>
  <si>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</si>
  <si>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</si>
  <si>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</si>
  <si>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</si>
  <si>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</si>
  <si>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</si>
  <si>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</si>
  <si>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</si>
  <si>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</si>
  <si>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</si>
  <si>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</si>
  <si>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</si>
  <si>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</si>
  <si>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</si>
  <si>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</si>
  <si>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</si>
  <si>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</si>
  <si>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</si>
  <si>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</si>
  <si>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</si>
  <si>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</si>
  <si>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</si>
  <si>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</si>
  <si>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</si>
  <si>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</si>
  <si>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</si>
  <si>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</si>
  <si>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</si>
  <si>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</si>
  <si>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</si>
  <si>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</si>
  <si>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</si>
  <si>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</si>
  <si>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</si>
  <si>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</si>
  <si>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</si>
  <si>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</si>
  <si>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</si>
  <si>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</si>
  <si>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</si>
  <si>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</si>
  <si>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</si>
  <si>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</si>
  <si>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</si>
  <si>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</si>
  <si>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</si>
  <si>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</si>
  <si>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</si>
  <si>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</si>
  <si>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</si>
  <si>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</si>
  <si>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</si>
  <si>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</si>
  <si>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</si>
  <si>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</si>
  <si>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</si>
  <si>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</si>
  <si>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</si>
  <si>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</si>
  <si>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</si>
  <si>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</si>
  <si>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</si>
  <si>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</si>
  <si>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</si>
  <si>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</si>
  <si>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</si>
  <si>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</si>
  <si>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</si>
  <si>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</si>
  <si>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</si>
  <si>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</si>
  <si>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</si>
  <si>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</si>
  <si>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</si>
  <si>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</si>
  <si>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</si>
  <si>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</si>
  <si>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</si>
  <si>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</si>
  <si>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</si>
  <si>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</si>
  <si>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</si>
  <si>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</si>
  <si>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</si>
  <si>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</si>
  <si>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</si>
  <si>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</si>
  <si>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</si>
  <si>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</si>
  <si>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</si>
  <si>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</si>
  <si>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</si>
  <si>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</si>
  <si>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</si>
  <si>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</si>
  <si>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</si>
  <si>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</si>
  <si>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</si>
  <si>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</si>
  <si>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</si>
  <si>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</si>
  <si>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</si>
  <si>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</si>
  <si>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</si>
  <si>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</si>
  <si>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</si>
  <si>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</si>
  <si>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</si>
  <si>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</si>
  <si>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</si>
  <si>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</si>
  <si>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</si>
  <si>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</si>
  <si>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</si>
  <si>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</si>
  <si>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</si>
  <si>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</si>
  <si>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</si>
  <si>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</si>
  <si>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</si>
  <si>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</si>
  <si>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</si>
  <si>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</si>
  <si>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</si>
  <si>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</si>
  <si>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</si>
  <si>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</si>
  <si>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</si>
  <si>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</si>
  <si>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</si>
  <si>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</si>
  <si>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</si>
  <si>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</si>
  <si>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</si>
  <si>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</si>
  <si>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</si>
  <si>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</si>
  <si>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</si>
  <si>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</si>
  <si>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</si>
  <si>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</si>
  <si>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</si>
  <si>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</si>
  <si>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</si>
  <si>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</si>
  <si>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</si>
  <si>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</si>
  <si>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</si>
  <si>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</si>
  <si>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</si>
  <si>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</si>
  <si>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</si>
  <si>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</si>
  <si>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</si>
  <si>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</si>
  <si>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</si>
  <si>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</si>
  <si>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</si>
  <si>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</si>
  <si>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</si>
  <si>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</si>
  <si>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</si>
  <si>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</si>
  <si>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</si>
  <si>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</si>
  <si>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</si>
  <si>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</si>
  <si>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</si>
  <si>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</si>
  <si>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</si>
  <si>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</si>
  <si>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</si>
  <si>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</si>
  <si>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</si>
  <si>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</si>
  <si>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</si>
  <si>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</si>
  <si>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</si>
  <si>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</si>
  <si>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</si>
  <si>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</si>
  <si>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</si>
  <si>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</si>
  <si>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</si>
  <si>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</si>
  <si>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</si>
  <si>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</si>
  <si>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</si>
  <si>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</si>
  <si>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</si>
  <si>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</si>
  <si>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</si>
  <si>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</si>
  <si>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</si>
  <si>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</si>
  <si>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</si>
  <si>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</si>
  <si>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</si>
  <si>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</si>
  <si>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</si>
  <si>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</si>
  <si>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</si>
  <si>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</si>
  <si>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</si>
  <si>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</si>
  <si>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</si>
  <si>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</si>
  <si>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</si>
  <si>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</si>
  <si>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</si>
  <si>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</si>
  <si>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</si>
  <si>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</si>
  <si>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</si>
  <si>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</si>
  <si>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</si>
  <si>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</si>
  <si>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</si>
  <si>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</si>
  <si>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</si>
  <si>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</si>
  <si>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</si>
  <si>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</si>
  <si>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</si>
  <si>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</si>
  <si>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</si>
  <si>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</si>
  <si>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</si>
  <si>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</si>
  <si>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</si>
  <si>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</si>
  <si>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</si>
  <si>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</si>
  <si>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</si>
  <si>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</si>
  <si>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</si>
  <si>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</si>
  <si>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</si>
  <si>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</si>
  <si>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</si>
  <si>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</si>
  <si>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</si>
  <si>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</si>
  <si>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</si>
  <si>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</si>
  <si>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</si>
  <si>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</si>
  <si>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</si>
  <si>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</si>
  <si>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</si>
  <si>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</si>
  <si>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</si>
  <si>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</si>
  <si>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</si>
  <si>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</si>
  <si>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</si>
  <si>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</si>
  <si>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</si>
  <si>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</si>
  <si>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</si>
  <si>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</si>
  <si>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</si>
  <si>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</si>
  <si>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</si>
  <si>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</si>
  <si>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</si>
  <si>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</si>
  <si>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</si>
  <si>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</si>
  <si>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</si>
  <si>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</si>
  <si>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</si>
  <si>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</si>
  <si>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</si>
  <si>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</si>
  <si>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</si>
  <si>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</si>
  <si>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</si>
  <si>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</si>
  <si>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</si>
  <si>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</si>
  <si>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</si>
  <si>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</si>
  <si>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</si>
  <si>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</si>
  <si>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</si>
  <si>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</si>
  <si>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</si>
  <si>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</si>
  <si>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</si>
  <si>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</si>
  <si>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</si>
  <si>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</si>
  <si>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</si>
  <si>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</si>
  <si>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</si>
  <si>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</si>
  <si>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</si>
  <si>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</si>
  <si>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</si>
  <si>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</si>
  <si>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</si>
  <si>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</si>
  <si>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</si>
  <si>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</si>
  <si>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</si>
  <si>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</si>
  <si>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</si>
  <si>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</si>
  <si>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</si>
  <si>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</si>
  <si>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</si>
  <si>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</si>
  <si>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</si>
  <si>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</si>
  <si>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</si>
  <si>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</si>
  <si>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</si>
  <si>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</si>
  <si>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</si>
  <si>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</si>
  <si>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</si>
  <si>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</si>
  <si>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</si>
  <si>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</si>
  <si>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</si>
  <si>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</si>
  <si>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</si>
  <si>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</si>
  <si>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</si>
  <si>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</si>
  <si>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</si>
  <si>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</si>
  <si>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</si>
  <si>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</si>
  <si>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</si>
  <si>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</si>
  <si>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</si>
  <si>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</si>
  <si>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</si>
  <si>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</si>
  <si>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</si>
  <si>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</si>
  <si>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</si>
  <si>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</si>
  <si>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</si>
  <si>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</si>
  <si>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</si>
  <si>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</si>
  <si>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</si>
  <si>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</si>
  <si>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</si>
  <si>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</si>
  <si>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</si>
  <si>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</si>
  <si>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</si>
  <si>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</si>
  <si>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</si>
  <si>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</si>
  <si>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</si>
  <si>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</si>
  <si>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</si>
  <si>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</si>
  <si>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</si>
  <si>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</si>
  <si>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</si>
  <si>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</si>
  <si>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</si>
  <si>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</si>
  <si>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</si>
  <si>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</si>
  <si>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</si>
  <si>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</si>
  <si>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</si>
  <si>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</si>
  <si>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</si>
  <si>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</si>
  <si>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</si>
  <si>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</si>
  <si>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</si>
  <si>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</si>
  <si>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</si>
  <si>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</si>
  <si>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</si>
  <si>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</si>
  <si>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</si>
  <si>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</si>
  <si>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</si>
  <si>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</si>
  <si>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</si>
  <si>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</si>
  <si>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</si>
  <si>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</si>
  <si>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</si>
  <si>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</si>
  <si>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</si>
  <si>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</si>
  <si>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</si>
  <si>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</si>
  <si>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</si>
  <si>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</si>
  <si>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</si>
  <si>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</si>
  <si>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</si>
  <si>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</si>
  <si>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</si>
  <si>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</si>
  <si>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</si>
  <si>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</si>
  <si>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</si>
  <si>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</si>
  <si>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</si>
  <si>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</si>
  <si>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</si>
  <si>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</si>
  <si>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</si>
  <si>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</si>
  <si>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</si>
  <si>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</si>
  <si>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</si>
  <si>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</si>
  <si>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</si>
  <si>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</si>
  <si>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</si>
  <si>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</si>
  <si>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</si>
  <si>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</si>
  <si>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</si>
  <si>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</si>
  <si>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</si>
  <si>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</si>
  <si>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</si>
  <si>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</si>
  <si>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</si>
  <si>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</si>
  <si>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</si>
  <si>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</si>
  <si>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</si>
  <si>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</si>
  <si>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</si>
  <si>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</si>
  <si>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</si>
  <si>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</si>
  <si>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</si>
  <si>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</si>
  <si>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</si>
  <si>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</si>
  <si>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</si>
  <si>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</si>
  <si>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</si>
  <si>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</si>
  <si>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</si>
  <si>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</si>
  <si>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</si>
  <si>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</si>
  <si>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</si>
  <si>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</si>
  <si>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</si>
  <si>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</si>
  <si>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</si>
  <si>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</si>
  <si>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</si>
  <si>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</si>
  <si>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</si>
  <si>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</si>
  <si>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</si>
  <si>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</si>
  <si>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</si>
  <si>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</si>
  <si>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</si>
  <si>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</si>
  <si>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</si>
  <si>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</si>
  <si>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</si>
  <si>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</si>
  <si>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</si>
  <si>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</si>
  <si>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</si>
  <si>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</si>
  <si>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</si>
  <si>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</si>
  <si>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</si>
  <si>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</si>
  <si>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</si>
  <si>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</si>
  <si>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</si>
  <si>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</si>
  <si>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</si>
  <si>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</si>
  <si>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</si>
  <si>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</si>
  <si>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</si>
  <si>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</si>
  <si>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</si>
  <si>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</si>
  <si>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</si>
  <si>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</si>
  <si>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</si>
  <si>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</si>
  <si>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</si>
  <si>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</si>
  <si>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</si>
  <si>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</si>
  <si>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</si>
  <si>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</si>
  <si>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</si>
  <si>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</si>
  <si>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</si>
  <si>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</si>
  <si>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</si>
  <si>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</si>
  <si>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</si>
  <si>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</si>
  <si>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</si>
  <si>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</si>
  <si>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</si>
  <si>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</si>
  <si>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</si>
  <si>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</si>
  <si>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</si>
  <si>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</si>
  <si>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</si>
  <si>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</si>
  <si>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</si>
  <si>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</si>
  <si>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</si>
  <si>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</si>
  <si>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</si>
  <si>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</si>
  <si>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</si>
  <si>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</si>
  <si>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</si>
  <si>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</si>
  <si>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</si>
  <si>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</si>
  <si>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</si>
  <si>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</si>
  <si>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</si>
  <si>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</si>
  <si>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</si>
  <si>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</si>
  <si>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</si>
  <si>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</si>
  <si>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</si>
  <si>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</si>
  <si>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</si>
  <si>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</si>
  <si>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</si>
  <si>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</si>
  <si>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</si>
  <si>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</si>
  <si>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</si>
  <si>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</si>
  <si>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</si>
  <si>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</si>
  <si>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</si>
  <si>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</si>
  <si>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</si>
  <si>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</si>
  <si>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</si>
  <si>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</si>
  <si>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</si>
  <si>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</si>
  <si>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</si>
  <si>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</si>
  <si>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</si>
  <si>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</si>
  <si>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</si>
  <si>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</si>
  <si>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</si>
  <si>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</si>
  <si>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</si>
  <si>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</si>
  <si>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</si>
  <si>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</si>
  <si>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</si>
  <si>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</si>
  <si>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</si>
  <si>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</si>
  <si>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</si>
  <si>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</si>
  <si>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</si>
  <si>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</si>
  <si>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</si>
  <si>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</si>
  <si>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</si>
  <si>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</si>
  <si>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</si>
  <si>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</si>
  <si>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</si>
  <si>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</si>
  <si>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</si>
  <si>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</si>
  <si>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</si>
  <si>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</si>
  <si>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</si>
  <si>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</si>
  <si>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</si>
  <si>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</si>
  <si>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</si>
  <si>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</si>
  <si>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</si>
  <si>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</si>
  <si>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</si>
  <si>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</si>
  <si>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</si>
  <si>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</si>
  <si>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</si>
  <si>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</si>
  <si>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</si>
  <si>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</si>
  <si>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</si>
  <si>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</si>
  <si>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</si>
  <si>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</si>
  <si>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</si>
  <si>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</si>
  <si>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</si>
  <si>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</si>
  <si>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</si>
  <si>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</si>
  <si>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</si>
  <si>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</si>
  <si>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</si>
  <si>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</si>
  <si>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</si>
  <si>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</si>
  <si>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</si>
  <si>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</si>
  <si>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</si>
  <si>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</si>
  <si>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</si>
  <si>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</si>
  <si>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</si>
  <si>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</si>
  <si>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</si>
  <si>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</si>
  <si>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</si>
  <si>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</si>
  <si>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</si>
  <si>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</si>
  <si>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</si>
  <si>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</si>
  <si>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</si>
  <si>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</si>
  <si>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</si>
  <si>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</si>
  <si>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</si>
  <si>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</si>
  <si>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</si>
  <si>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</si>
  <si>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</si>
  <si>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</si>
  <si>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</si>
  <si>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</si>
  <si>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</si>
  <si>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</si>
  <si>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</si>
  <si>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</si>
  <si>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</si>
  <si>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</si>
  <si>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</si>
  <si>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</si>
  <si>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</si>
  <si>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</si>
  <si>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</si>
  <si>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</si>
  <si>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</si>
  <si>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</si>
  <si>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</si>
  <si>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</si>
  <si>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</si>
  <si>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</si>
  <si>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</si>
  <si>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</si>
  <si>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</si>
  <si>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</si>
  <si>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</si>
  <si>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</si>
  <si>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</si>
  <si>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</si>
  <si>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</si>
  <si>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</si>
  <si>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</si>
  <si>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</si>
  <si>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</si>
  <si>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</si>
  <si>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</si>
  <si>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</si>
  <si>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</si>
  <si>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</si>
  <si>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</si>
  <si>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</si>
  <si>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</si>
  <si>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</si>
  <si>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</si>
  <si>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</si>
  <si>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</si>
  <si>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</si>
  <si>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</si>
  <si>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</si>
  <si>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</si>
  <si>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</si>
  <si>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</si>
  <si>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</si>
  <si>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</si>
  <si>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</si>
  <si>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</si>
  <si>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</si>
  <si>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</si>
  <si>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</si>
  <si>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</si>
  <si>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</si>
  <si>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</si>
  <si>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</si>
  <si>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</si>
  <si>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</si>
  <si>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</si>
  <si>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</si>
  <si>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</si>
  <si>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</si>
  <si>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</si>
  <si>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</si>
  <si>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</si>
  <si>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</si>
  <si>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</si>
  <si>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</si>
  <si>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</si>
  <si>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</si>
  <si>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</si>
  <si>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</si>
  <si>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</si>
  <si>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</si>
  <si>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</si>
  <si>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</si>
  <si>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</si>
  <si>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</si>
  <si>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</si>
  <si>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</si>
  <si>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</si>
  <si>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</si>
  <si>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</si>
  <si>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</si>
  <si>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</si>
  <si>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</si>
  <si>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</si>
  <si>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</si>
  <si>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</si>
  <si>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</si>
  <si>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</si>
  <si>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</si>
  <si>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</si>
  <si>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</si>
  <si>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</si>
  <si>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</si>
  <si>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</si>
  <si>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</si>
  <si>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</si>
  <si>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</si>
  <si>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</si>
  <si>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</si>
  <si>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</si>
  <si>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</si>
  <si>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</si>
  <si>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</si>
  <si>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</si>
  <si>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</si>
  <si>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</si>
  <si>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</si>
  <si>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</si>
  <si>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</si>
  <si>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</si>
  <si>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</si>
  <si>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</si>
  <si>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</si>
  <si>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</si>
  <si>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</si>
  <si>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</si>
  <si>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</si>
  <si>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</si>
  <si>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</si>
  <si>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</si>
  <si>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</si>
  <si>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</si>
  <si>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</si>
  <si>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</si>
  <si>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</si>
  <si>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</si>
  <si>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</si>
  <si>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</si>
  <si>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</si>
  <si>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</si>
  <si>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</si>
  <si>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</si>
  <si>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</si>
  <si>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</si>
  <si>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</si>
  <si>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</si>
  <si>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</si>
  <si>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</si>
  <si>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</si>
  <si>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</si>
  <si>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</si>
  <si>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</si>
  <si>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</si>
  <si>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</si>
  <si>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</si>
  <si>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</si>
  <si>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</si>
  <si>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</si>
  <si>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</si>
  <si>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</si>
  <si>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</si>
  <si>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</si>
  <si>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</si>
  <si>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</si>
  <si>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</si>
  <si>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</si>
  <si>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</si>
  <si>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</si>
  <si>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</si>
  <si>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</si>
  <si>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</si>
  <si>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</si>
  <si>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</si>
  <si>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</si>
  <si>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</si>
  <si>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</si>
  <si>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</si>
  <si>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</si>
  <si>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</si>
  <si>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</si>
  <si>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</si>
  <si>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</si>
  <si>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</si>
  <si>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</si>
  <si>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</si>
  <si>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</si>
  <si>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</si>
  <si>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</si>
  <si>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</si>
  <si>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</si>
  <si>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</si>
  <si>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</si>
  <si>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</si>
  <si>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</si>
  <si>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</si>
  <si>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</si>
  <si>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</si>
  <si>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</si>
  <si>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</si>
  <si>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</si>
  <si>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</si>
  <si>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</si>
  <si>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</si>
  <si>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</si>
  <si>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</si>
  <si>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</si>
  <si>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</si>
  <si>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</si>
  <si>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</si>
  <si>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</si>
  <si>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</si>
  <si>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</si>
  <si>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</si>
  <si>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</si>
  <si>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</si>
  <si>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</si>
  <si>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</si>
  <si>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</si>
  <si>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</si>
  <si>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</si>
  <si>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</si>
  <si>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</si>
  <si>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</si>
  <si>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</si>
  <si>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</si>
  <si>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</si>
  <si>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</si>
  <si>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</si>
  <si>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</si>
  <si>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</si>
  <si>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</si>
  <si>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</si>
  <si>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</si>
  <si>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</si>
  <si>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</si>
  <si>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</si>
  <si>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</si>
  <si>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</si>
  <si>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</si>
  <si>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</si>
  <si>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</si>
  <si>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</si>
  <si>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</si>
  <si>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</si>
  <si>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</si>
  <si>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</si>
  <si>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</si>
  <si>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</si>
  <si>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</si>
  <si>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</si>
  <si>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</si>
  <si>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</si>
  <si>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</si>
  <si>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</si>
  <si>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</si>
  <si>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</si>
  <si>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</si>
  <si>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</si>
  <si>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</si>
  <si>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</si>
  <si>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</si>
  <si>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</si>
  <si>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</si>
  <si>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</si>
  <si>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</si>
  <si>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</si>
  <si>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</si>
  <si>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</si>
  <si>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</si>
  <si>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</si>
  <si>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</si>
  <si>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</si>
  <si>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</si>
  <si>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</si>
  <si>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</si>
  <si>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</si>
  <si>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</si>
  <si>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</si>
  <si>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</si>
  <si>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</si>
  <si>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</si>
  <si>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</si>
  <si>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</si>
  <si>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</si>
  <si>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11025</t>
  </si>
  <si>
    <t>LINT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</si>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</sst>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FAC8724-B80B-4638-B788-16F81301C3A8}"/>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11025</v>
      </c>
      <c r="B6" s="382"/>
      <c r="C6" s="383"/>
    </row>
    <row r="7" spans="1:7" s="380" customFormat="1" ht="15.75" customHeight="1">
      <c r="A7" s="384" t="str">
        <f>txtMunicipality</f>
        <v>LINT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0.21348390266311862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0.21348390266311862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3235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106</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44</v>
      </c>
      <c r="C17" s="324"/>
      <c r="D17" s="324"/>
      <c r="E17" s="324"/>
      <c r="F17" s="324"/>
    </row>
    <row r="18" spans="1:6">
      <c r="A18" s="1235" t="s">
        <v>8</v>
      </c>
      <c r="B18" s="1236">
        <v>45</v>
      </c>
      <c r="C18" s="324"/>
      <c r="D18" s="324"/>
      <c r="E18" s="324"/>
      <c r="F18" s="324"/>
    </row>
    <row r="19" spans="1:6">
      <c r="A19" s="1235" t="s">
        <v>9</v>
      </c>
      <c r="B19" s="1236">
        <v>23</v>
      </c>
      <c r="C19" s="324"/>
      <c r="D19" s="324"/>
      <c r="E19" s="324"/>
      <c r="F19" s="324"/>
    </row>
    <row r="20" spans="1:6">
      <c r="A20" s="1235" t="s">
        <v>10</v>
      </c>
      <c r="B20" s="1236">
        <v>24</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0</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111319.90772430399</v>
      </c>
      <c r="E38" s="1236">
        <v>1</v>
      </c>
      <c r="F38" s="1236">
        <v>2509.08861484</v>
      </c>
    </row>
    <row r="39" spans="1:6">
      <c r="A39" s="1235" t="s">
        <v>29</v>
      </c>
      <c r="B39" s="1235" t="s">
        <v>30</v>
      </c>
      <c r="C39" s="1236">
        <v>2705</v>
      </c>
      <c r="D39" s="1236">
        <v>48188362.247106597</v>
      </c>
      <c r="E39" s="1236">
        <v>3302</v>
      </c>
      <c r="F39" s="1236">
        <v>15176057.2259418</v>
      </c>
    </row>
    <row r="40" spans="1:6">
      <c r="A40" s="1235" t="s">
        <v>29</v>
      </c>
      <c r="B40" s="1235" t="s">
        <v>28</v>
      </c>
      <c r="C40" s="1236">
        <v>0</v>
      </c>
      <c r="D40" s="1236">
        <v>0</v>
      </c>
      <c r="E40" s="1236">
        <v>0</v>
      </c>
      <c r="F40" s="1236">
        <v>0</v>
      </c>
    </row>
    <row r="41" spans="1:6">
      <c r="A41" s="1235" t="s">
        <v>31</v>
      </c>
      <c r="B41" s="1235" t="s">
        <v>32</v>
      </c>
      <c r="C41" s="1236">
        <v>11</v>
      </c>
      <c r="D41" s="1236">
        <v>220085.33753868699</v>
      </c>
      <c r="E41" s="1236">
        <v>38</v>
      </c>
      <c r="F41" s="1236">
        <v>365286.671396091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21</v>
      </c>
      <c r="D48" s="1236">
        <v>747547.93123233505</v>
      </c>
      <c r="E48" s="1236">
        <v>19</v>
      </c>
      <c r="F48" s="1236">
        <v>773463.899976974</v>
      </c>
    </row>
    <row r="49" spans="1:6">
      <c r="A49" s="1235" t="s">
        <v>31</v>
      </c>
      <c r="B49" s="1235" t="s">
        <v>39</v>
      </c>
      <c r="C49" s="1236">
        <v>0</v>
      </c>
      <c r="D49" s="1236">
        <v>0</v>
      </c>
      <c r="E49" s="1236">
        <v>0</v>
      </c>
      <c r="F49" s="1236">
        <v>0</v>
      </c>
    </row>
    <row r="50" spans="1:6">
      <c r="A50" s="1235" t="s">
        <v>31</v>
      </c>
      <c r="B50" s="1235" t="s">
        <v>40</v>
      </c>
      <c r="C50" s="1236">
        <v>0</v>
      </c>
      <c r="D50" s="1236">
        <v>0</v>
      </c>
      <c r="E50" s="1236">
        <v>4</v>
      </c>
      <c r="F50" s="1236">
        <v>152081.403557424</v>
      </c>
    </row>
    <row r="51" spans="1:6">
      <c r="A51" s="1235" t="s">
        <v>41</v>
      </c>
      <c r="B51" s="1235" t="s">
        <v>42</v>
      </c>
      <c r="C51" s="1236">
        <v>0</v>
      </c>
      <c r="D51" s="1236">
        <v>0</v>
      </c>
      <c r="E51" s="1236">
        <v>9</v>
      </c>
      <c r="F51" s="1236">
        <v>72182.297017126795</v>
      </c>
    </row>
    <row r="52" spans="1:6">
      <c r="A52" s="1235" t="s">
        <v>41</v>
      </c>
      <c r="B52" s="1235" t="s">
        <v>28</v>
      </c>
      <c r="C52" s="1236">
        <v>3</v>
      </c>
      <c r="D52" s="1236">
        <v>182349.89944256499</v>
      </c>
      <c r="E52" s="1236">
        <v>2</v>
      </c>
      <c r="F52" s="1236">
        <v>10533.606305667199</v>
      </c>
    </row>
    <row r="53" spans="1:6">
      <c r="A53" s="1235" t="s">
        <v>43</v>
      </c>
      <c r="B53" s="1235" t="s">
        <v>44</v>
      </c>
      <c r="C53" s="1236">
        <v>85</v>
      </c>
      <c r="D53" s="1236">
        <v>1555748.28639016</v>
      </c>
      <c r="E53" s="1236">
        <v>108</v>
      </c>
      <c r="F53" s="1236">
        <v>484216.50057372701</v>
      </c>
    </row>
    <row r="54" spans="1:6">
      <c r="A54" s="1235" t="s">
        <v>45</v>
      </c>
      <c r="B54" s="1235" t="s">
        <v>46</v>
      </c>
      <c r="C54" s="1236">
        <v>0</v>
      </c>
      <c r="D54" s="1236">
        <v>0</v>
      </c>
      <c r="E54" s="1236">
        <v>1</v>
      </c>
      <c r="F54" s="1236">
        <v>615807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v>
      </c>
      <c r="D57" s="1236">
        <v>191186.046716504</v>
      </c>
      <c r="E57" s="1236">
        <v>14</v>
      </c>
      <c r="F57" s="1236">
        <v>99961.417385301</v>
      </c>
    </row>
    <row r="58" spans="1:6">
      <c r="A58" s="1235" t="s">
        <v>48</v>
      </c>
      <c r="B58" s="1235" t="s">
        <v>50</v>
      </c>
      <c r="C58" s="1236">
        <v>0</v>
      </c>
      <c r="D58" s="1236">
        <v>0</v>
      </c>
      <c r="E58" s="1236">
        <v>0</v>
      </c>
      <c r="F58" s="1236">
        <v>0</v>
      </c>
    </row>
    <row r="59" spans="1:6">
      <c r="A59" s="1235" t="s">
        <v>48</v>
      </c>
      <c r="B59" s="1235" t="s">
        <v>51</v>
      </c>
      <c r="C59" s="1236">
        <v>20</v>
      </c>
      <c r="D59" s="1236">
        <v>701542.27152325504</v>
      </c>
      <c r="E59" s="1236">
        <v>43</v>
      </c>
      <c r="F59" s="1236">
        <v>1152449.88059957</v>
      </c>
    </row>
    <row r="60" spans="1:6">
      <c r="A60" s="1235" t="s">
        <v>48</v>
      </c>
      <c r="B60" s="1235" t="s">
        <v>52</v>
      </c>
      <c r="C60" s="1236">
        <v>19</v>
      </c>
      <c r="D60" s="1236">
        <v>2043014.7465421199</v>
      </c>
      <c r="E60" s="1236">
        <v>29</v>
      </c>
      <c r="F60" s="1236">
        <v>527470.51735472097</v>
      </c>
    </row>
    <row r="61" spans="1:6">
      <c r="A61" s="1235" t="s">
        <v>48</v>
      </c>
      <c r="B61" s="1235" t="s">
        <v>53</v>
      </c>
      <c r="C61" s="1236">
        <v>64</v>
      </c>
      <c r="D61" s="1236">
        <v>2322034.90675864</v>
      </c>
      <c r="E61" s="1236">
        <v>154</v>
      </c>
      <c r="F61" s="1236">
        <v>5482554.1467443397</v>
      </c>
    </row>
    <row r="62" spans="1:6">
      <c r="A62" s="1235" t="s">
        <v>48</v>
      </c>
      <c r="B62" s="1235" t="s">
        <v>54</v>
      </c>
      <c r="C62" s="1236">
        <v>0</v>
      </c>
      <c r="D62" s="1236">
        <v>0</v>
      </c>
      <c r="E62" s="1236">
        <v>0</v>
      </c>
      <c r="F62" s="1236">
        <v>0</v>
      </c>
    </row>
    <row r="63" spans="1:6">
      <c r="A63" s="1235" t="s">
        <v>48</v>
      </c>
      <c r="B63" s="1235" t="s">
        <v>28</v>
      </c>
      <c r="C63" s="1236">
        <v>80</v>
      </c>
      <c r="D63" s="1236">
        <v>19404153.376836602</v>
      </c>
      <c r="E63" s="1236">
        <v>81</v>
      </c>
      <c r="F63" s="1236">
        <v>2800571.4302209602</v>
      </c>
    </row>
    <row r="64" spans="1:6">
      <c r="A64" s="1235" t="s">
        <v>55</v>
      </c>
      <c r="B64" s="1235" t="s">
        <v>56</v>
      </c>
      <c r="C64" s="1236">
        <v>0</v>
      </c>
      <c r="D64" s="1236">
        <v>0</v>
      </c>
      <c r="E64" s="1236">
        <v>0</v>
      </c>
      <c r="F64" s="1236">
        <v>0</v>
      </c>
    </row>
    <row r="65" spans="1:6">
      <c r="A65" s="1235" t="s">
        <v>55</v>
      </c>
      <c r="B65" s="1235" t="s">
        <v>28</v>
      </c>
      <c r="C65" s="1236">
        <v>1</v>
      </c>
      <c r="D65" s="1236">
        <v>5737.7518248476999</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38536.086858404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10125277</v>
      </c>
      <c r="E73" s="443"/>
      <c r="F73" s="324"/>
    </row>
    <row r="74" spans="1:6">
      <c r="A74" s="1235" t="s">
        <v>63</v>
      </c>
      <c r="B74" s="1235" t="s">
        <v>730</v>
      </c>
      <c r="C74" s="1248" t="s">
        <v>731</v>
      </c>
      <c r="D74" s="1236">
        <v>534092.60386464396</v>
      </c>
      <c r="E74" s="443"/>
      <c r="F74" s="324"/>
    </row>
    <row r="75" spans="1:6">
      <c r="A75" s="1235" t="s">
        <v>64</v>
      </c>
      <c r="B75" s="1235" t="s">
        <v>728</v>
      </c>
      <c r="C75" s="1248" t="s">
        <v>732</v>
      </c>
      <c r="D75" s="1236">
        <v>548963</v>
      </c>
      <c r="E75" s="443"/>
      <c r="F75" s="324"/>
    </row>
    <row r="76" spans="1:6">
      <c r="A76" s="1235" t="s">
        <v>64</v>
      </c>
      <c r="B76" s="1235" t="s">
        <v>730</v>
      </c>
      <c r="C76" s="1248" t="s">
        <v>733</v>
      </c>
      <c r="D76" s="1236">
        <v>111.7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153462.79227071197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731.41911880950101</v>
      </c>
      <c r="C91" s="324"/>
      <c r="D91" s="324"/>
      <c r="E91" s="324"/>
      <c r="F91" s="324"/>
    </row>
    <row r="92" spans="1:6">
      <c r="A92" s="1230" t="s">
        <v>68</v>
      </c>
      <c r="B92" s="1231">
        <v>236.04034912332622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2094</v>
      </c>
      <c r="C97" s="324"/>
      <c r="D97" s="324"/>
      <c r="E97" s="324"/>
      <c r="F97" s="324"/>
    </row>
    <row r="98" spans="1:6">
      <c r="A98" s="1235" t="s">
        <v>71</v>
      </c>
      <c r="B98" s="1236">
        <v>0</v>
      </c>
      <c r="C98" s="324"/>
      <c r="D98" s="324"/>
      <c r="E98" s="324"/>
      <c r="F98" s="324"/>
    </row>
    <row r="99" spans="1:6">
      <c r="A99" s="1235" t="s">
        <v>72</v>
      </c>
      <c r="B99" s="1236">
        <v>15</v>
      </c>
      <c r="C99" s="324"/>
      <c r="D99" s="324"/>
      <c r="E99" s="324"/>
      <c r="F99" s="324"/>
    </row>
    <row r="100" spans="1:6">
      <c r="A100" s="1235" t="s">
        <v>73</v>
      </c>
      <c r="B100" s="1236">
        <v>262</v>
      </c>
      <c r="C100" s="324"/>
      <c r="D100" s="324"/>
      <c r="E100" s="324"/>
      <c r="F100" s="324"/>
    </row>
    <row r="101" spans="1:6">
      <c r="A101" s="1235" t="s">
        <v>74</v>
      </c>
      <c r="B101" s="1236">
        <v>28</v>
      </c>
      <c r="C101" s="324"/>
      <c r="D101" s="324"/>
      <c r="E101" s="324"/>
      <c r="F101" s="324"/>
    </row>
    <row r="102" spans="1:6">
      <c r="A102" s="1235" t="s">
        <v>75</v>
      </c>
      <c r="B102" s="1236">
        <v>30</v>
      </c>
      <c r="C102" s="324"/>
      <c r="D102" s="324"/>
      <c r="E102" s="324"/>
      <c r="F102" s="324"/>
    </row>
    <row r="103" spans="1:6">
      <c r="A103" s="1235" t="s">
        <v>76</v>
      </c>
      <c r="B103" s="1236">
        <v>29</v>
      </c>
      <c r="C103" s="324"/>
      <c r="D103" s="324"/>
      <c r="E103" s="324"/>
      <c r="F103" s="324"/>
    </row>
    <row r="104" spans="1:6">
      <c r="A104" s="1235" t="s">
        <v>77</v>
      </c>
      <c r="B104" s="1236">
        <v>310</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22</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28446.750065888398</v>
      </c>
      <c r="C3" s="43" t="s">
        <v>163</v>
      </c>
      <c r="D3" s="43"/>
      <c r="E3" s="155"/>
      <c r="F3" s="43"/>
      <c r="G3" s="43"/>
      <c r="H3" s="43"/>
      <c r="I3" s="43"/>
      <c r="J3" s="43"/>
      <c r="K3" s="96"/>
    </row>
    <row r="4" spans="1:11">
      <c r="A4" s="350" t="s">
        <v>164</v>
      </c>
      <c r="B4" s="49">
        <f>IF(ISERROR('SEAP template'!B78+'SEAP template'!C78),0,'SEAP template'!B78+'SEAP template'!C78)</f>
        <v>967.45946793282724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0.21348390266311862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615.80700000000002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615.80700000000002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0.21348390266311862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131.46488164726708</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15176.0572259418</v>
      </c>
      <c r="C5" s="17">
        <f>IF(ISERROR('Eigen informatie GS &amp; warmtenet'!B57),0,'Eigen informatie GS &amp; warmtenet'!B57)</f>
        <v>0</v>
      </c>
      <c r="D5" s="30">
        <f>(SUM(HH_hh_gas_kWh,HH_rest_gas_kWh)/1000)*0.902</f>
        <v>43465.902746890155</v>
      </c>
      <c r="E5" s="17">
        <f>B32*B41</f>
        <v>318.69159219691034</v>
      </c>
      <c r="F5" s="17">
        <f>B36*B45</f>
        <v>10878.344895663538</v>
      </c>
      <c r="G5" s="18"/>
      <c r="H5" s="17"/>
      <c r="I5" s="17"/>
      <c r="J5" s="17">
        <f>B35*B44+C35*C44</f>
        <v>244.95274732195685</v>
      </c>
      <c r="K5" s="17"/>
      <c r="L5" s="17"/>
      <c r="M5" s="17"/>
      <c r="N5" s="17">
        <f>B34*B43+C34*C43</f>
        <v>3660.1124407975999</v>
      </c>
      <c r="O5" s="17">
        <f>B52*B53*B54</f>
        <v>39.083333333333336</v>
      </c>
      <c r="P5" s="17">
        <f>B60*B61*B62/1000-B60*B61*B62/1000/B63</f>
        <v>95.333333333333343</v>
      </c>
    </row>
    <row r="6" spans="1:16">
      <c r="A6" s="16" t="s">
        <v>591</v>
      </c>
      <c r="B6" s="727">
        <f>kWh_PV_kleiner_dan_10kW</f>
        <v>731.41911880950101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15907.476344751301</v>
      </c>
      <c r="C8" s="21">
        <f>C5</f>
        <v>0</v>
      </c>
      <c r="D8" s="21">
        <f>D5</f>
        <v>43465.902746890155</v>
      </c>
      <c r="E8" s="21">
        <f>E5</f>
        <v>318.69159219691034</v>
      </c>
      <c r="F8" s="21">
        <f>F5</f>
        <v>10878.344895663538</v>
      </c>
      <c r="G8" s="21"/>
      <c r="H8" s="21"/>
      <c r="I8" s="21"/>
      <c r="J8" s="21">
        <f>J5</f>
        <v>244.95274732195685</v>
      </c>
      <c r="K8" s="21"/>
      <c r="L8" s="21">
        <f>L5</f>
        <v>0</v>
      </c>
      <c r="M8" s="21">
        <f>M5</f>
        <v>0</v>
      </c>
      <c r="N8" s="21">
        <f>N5</f>
        <v>3660.1124407975999</v>
      </c>
      <c r="O8" s="21">
        <f>O5</f>
        <v>39.083333333333336</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0.21348390266311862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3395.9901315987486</v>
      </c>
      <c r="C12" s="23">
        <f ca="1">C10*C8</f>
        <v>0</v>
      </c>
      <c r="D12" s="23">
        <f>D8*D10</f>
        <v>8780.1123548718115</v>
      </c>
      <c r="E12" s="23">
        <f>E10*E8</f>
        <v>72.342991428698653</v>
      </c>
      <c r="F12" s="23">
        <f>F10*F8</f>
        <v>2904.5180871421649</v>
      </c>
      <c r="G12" s="23"/>
      <c r="H12" s="23"/>
      <c r="I12" s="23"/>
      <c r="J12" s="23">
        <f>J10*J8</f>
        <v>86.713272551972722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3235</v>
      </c>
      <c r="C26" s="36"/>
      <c r="D26" s="225"/>
    </row>
    <row r="27" spans="1:5" s="15" customFormat="1">
      <c r="A27" s="227" t="s">
        <v>671</v>
      </c>
      <c r="B27" s="37">
        <f>SUM(HH_hh_gas_aantal,HH_rest_gas_aantal)</f>
        <v>2705</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2569.75</v>
      </c>
      <c r="C31" s="34" t="s">
        <v>104</v>
      </c>
      <c r="D31" s="171"/>
    </row>
    <row r="32" spans="1:5">
      <c r="A32" s="168" t="s">
        <v>72</v>
      </c>
      <c r="B32" s="33">
        <f>IF((B21*($B$26-($B$27-0.05*$B$27)-$B$60))&lt;0,0,B21*($B$26-($B$27-0.05*$B$27)-$B$60))</f>
        <v>4.6808877020326198</v>
      </c>
      <c r="C32" s="34" t="s">
        <v>104</v>
      </c>
      <c r="D32" s="171"/>
    </row>
    <row r="33" spans="1:6">
      <c r="A33" s="168" t="s">
        <v>73</v>
      </c>
      <c r="B33" s="33">
        <f>IF((B22*($B$26-($B$27-0.05*$B$27)-$B$60))&lt;0,0,B22*($B$26-($B$27-0.05*$B$27)-$B$60))</f>
        <v>134.15360468478525</v>
      </c>
      <c r="C33" s="34" t="s">
        <v>104</v>
      </c>
      <c r="D33" s="171"/>
    </row>
    <row r="34" spans="1:6">
      <c r="A34" s="168" t="s">
        <v>74</v>
      </c>
      <c r="B34" s="33">
        <f>IF((B24*($B$26-($B$27-0.05*$B$27)-$B$60))&lt;0,0,B24*($B$26-($B$27-0.05*$B$27)-$B$60))</f>
        <v>26.751646552249447</v>
      </c>
      <c r="C34" s="33">
        <f>B26*C24</f>
        <v>661.48508365154748</v>
      </c>
      <c r="D34" s="230"/>
    </row>
    <row r="35" spans="1:6">
      <c r="A35" s="168" t="s">
        <v>76</v>
      </c>
      <c r="B35" s="33">
        <f>IF((B19*($B$26-($B$27-0.05*$B$27)-$B$60))&lt;0,0,B19*($B$26-($B$27-0.05*$B$27)-$B$60))</f>
        <v>13.931213398906609</v>
      </c>
      <c r="C35" s="33">
        <f>B35/2</f>
        <v>6.9656066994533044</v>
      </c>
      <c r="D35" s="230"/>
    </row>
    <row r="36" spans="1:6">
      <c r="A36" s="168" t="s">
        <v>77</v>
      </c>
      <c r="B36" s="33">
        <f>IF((B18*($B$26-($B$27-0.05*$B$27)-$B$60))&lt;0,0,B18*($B$26-($B$27-0.05*$B$27)-$B$60))</f>
        <v>480.73264766202607</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10063.007392304891</v>
      </c>
      <c r="C5" s="17">
        <f>IF(ISERROR('Eigen informatie GS &amp; warmtenet'!B58),0,'Eigen informatie GS &amp; warmtenet'!B58)</f>
        <v>0</v>
      </c>
      <c r="D5" s="30">
        <f>SUM(D6:D12)</f>
        <v>22245.062076236165</v>
      </c>
      <c r="E5" s="17">
        <f>SUM(E6:E12)</f>
        <v>285.00330735496004</v>
      </c>
      <c r="F5" s="17">
        <f>SUM(F6:F12)</f>
        <v>1681.7175949071604</v>
      </c>
      <c r="G5" s="18"/>
      <c r="H5" s="17"/>
      <c r="I5" s="17"/>
      <c r="J5" s="17">
        <f>SUM(J6:J12)</f>
        <v>0</v>
      </c>
      <c r="K5" s="17"/>
      <c r="L5" s="17"/>
      <c r="M5" s="17"/>
      <c r="N5" s="17">
        <f>SUM(N6:N12)</f>
        <v>187.41503087472864</v>
      </c>
      <c r="O5" s="17">
        <f>B38*B39*B40</f>
        <v>0</v>
      </c>
      <c r="P5" s="17">
        <f>B46*B47*B48/1000-B46*B47*B48/1000/B49</f>
        <v>0</v>
      </c>
      <c r="R5" s="32"/>
    </row>
    <row r="6" spans="1:18">
      <c r="A6" s="32" t="s">
        <v>53</v>
      </c>
      <c r="B6" s="37">
        <f>B26</f>
        <v>5482.55414674434</v>
      </c>
      <c r="C6" s="33"/>
      <c r="D6" s="37">
        <f>IF(ISERROR(TER_kantoor_gas_kWh/1000),0,TER_kantoor_gas_kWh/1000)*0.902</f>
        <v>2094.4754858962933</v>
      </c>
      <c r="E6" s="33">
        <f>$C$26*'E Balans VL '!I12/100/3.6*1000000</f>
        <v>189.65257307086918</v>
      </c>
      <c r="F6" s="33">
        <f>$C$26*('E Balans VL '!L12+'E Balans VL '!N12)/100/3.6*1000000</f>
        <v>836.97010678017466</v>
      </c>
      <c r="G6" s="34"/>
      <c r="H6" s="33"/>
      <c r="I6" s="33"/>
      <c r="J6" s="33">
        <f>$C$26*('E Balans VL '!D12+'E Balans VL '!E12)/100/3.6*1000000</f>
        <v>0</v>
      </c>
      <c r="K6" s="33"/>
      <c r="L6" s="33"/>
      <c r="M6" s="33"/>
      <c r="N6" s="33">
        <f>$C$26*'E Balans VL '!Y12/100/3.6*1000000</f>
        <v>84.516178397073503</v>
      </c>
      <c r="O6" s="33"/>
      <c r="P6" s="33"/>
      <c r="R6" s="32"/>
    </row>
    <row r="7" spans="1:18">
      <c r="A7" s="32" t="s">
        <v>52</v>
      </c>
      <c r="B7" s="37">
        <f t="shared" ref="B7:B12" si="0">B27</f>
        <v>527.47051735472098</v>
      </c>
      <c r="C7" s="33"/>
      <c r="D7" s="37">
        <f>IF(ISERROR(TER_horeca_gas_kWh/1000),0,TER_horeca_gas_kWh/1000)*0.902</f>
        <v>1842.7993013809921</v>
      </c>
      <c r="E7" s="33">
        <f>$C$27*'E Balans VL '!I9/100/3.6*1000000</f>
        <v>28.907060458798245</v>
      </c>
      <c r="F7" s="33">
        <f>$C$27*('E Balans VL '!L9+'E Balans VL '!N9)/100/3.6*1000000</f>
        <v>89.265655345797512</v>
      </c>
      <c r="G7" s="34"/>
      <c r="H7" s="33"/>
      <c r="I7" s="33"/>
      <c r="J7" s="33">
        <f>$C$27*('E Balans VL '!D9+'E Balans VL '!E9)/100/3.6*1000000</f>
        <v>0</v>
      </c>
      <c r="K7" s="33"/>
      <c r="L7" s="33"/>
      <c r="M7" s="33"/>
      <c r="N7" s="33">
        <f>$C$27*'E Balans VL '!Y9/100/3.6*1000000</f>
        <v>0</v>
      </c>
      <c r="O7" s="33"/>
      <c r="P7" s="33"/>
      <c r="R7" s="32"/>
    </row>
    <row r="8" spans="1:18">
      <c r="A8" s="6" t="s">
        <v>51</v>
      </c>
      <c r="B8" s="37">
        <f t="shared" si="0"/>
        <v>1152.44988059957</v>
      </c>
      <c r="C8" s="33"/>
      <c r="D8" s="37">
        <f>IF(ISERROR(TER_handel_gas_kWh/1000),0,TER_handel_gas_kWh/1000)*0.902</f>
        <v>632.79112891397608</v>
      </c>
      <c r="E8" s="33">
        <f>$C$28*'E Balans VL '!I13/100/3.6*1000000</f>
        <v>5.8304407261298508</v>
      </c>
      <c r="F8" s="33">
        <f>$C$28*('E Balans VL '!L13+'E Balans VL '!N13)/100/3.6*1000000</f>
        <v>175.10574579140447</v>
      </c>
      <c r="G8" s="34"/>
      <c r="H8" s="33"/>
      <c r="I8" s="33"/>
      <c r="J8" s="33">
        <f>$C$28*('E Balans VL '!D13+'E Balans VL '!E13)/100/3.6*1000000</f>
        <v>0</v>
      </c>
      <c r="K8" s="33"/>
      <c r="L8" s="33"/>
      <c r="M8" s="33"/>
      <c r="N8" s="33">
        <f>$C$28*'E Balans VL '!Y13/100/3.6*1000000</f>
        <v>0.53891641442447047</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99.961417385301004</v>
      </c>
      <c r="C10" s="33"/>
      <c r="D10" s="37">
        <f>IF(ISERROR(TER_ander_gas_kWh/1000),0,TER_ander_gas_kWh/1000)*0.902</f>
        <v>172.4498141382866</v>
      </c>
      <c r="E10" s="33">
        <f>$C$30*'E Balans VL '!I14/100/3.6*1000000</f>
        <v>0.60852999470106661</v>
      </c>
      <c r="F10" s="33">
        <f>$C$30*('E Balans VL '!L14+'E Balans VL '!N14)/100/3.6*1000000</f>
        <v>26.464727980005215</v>
      </c>
      <c r="G10" s="34"/>
      <c r="H10" s="33"/>
      <c r="I10" s="33"/>
      <c r="J10" s="33">
        <f>$C$30*('E Balans VL '!D14+'E Balans VL '!E14)/100/3.6*1000000</f>
        <v>0</v>
      </c>
      <c r="K10" s="33"/>
      <c r="L10" s="33"/>
      <c r="M10" s="33"/>
      <c r="N10" s="33">
        <f>$C$30*'E Balans VL '!Y14/100/3.6*1000000</f>
        <v>20.819370868080057</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2800.5714302209603</v>
      </c>
      <c r="C12" s="33"/>
      <c r="D12" s="37">
        <f>IF(ISERROR(TER_rest_gas_kWh/1000),0,TER_rest_gas_kWh/1000)*0.902</f>
        <v>17502.546345906616</v>
      </c>
      <c r="E12" s="33">
        <f>$C$32*'E Balans VL '!I8/100/3.6*1000000</f>
        <v>60.004703104461704</v>
      </c>
      <c r="F12" s="33">
        <f>$C$32*('E Balans VL '!L8+'E Balans VL '!N8)/100/3.6*1000000</f>
        <v>553.91135900977861</v>
      </c>
      <c r="G12" s="34"/>
      <c r="H12" s="33"/>
      <c r="I12" s="33"/>
      <c r="J12" s="33">
        <f>$C$32*('E Balans VL '!D8+'E Balans VL '!E8)/100/3.6*1000000</f>
        <v>0</v>
      </c>
      <c r="K12" s="33"/>
      <c r="L12" s="33"/>
      <c r="M12" s="33"/>
      <c r="N12" s="33">
        <f>$C$32*'E Balans VL '!Y8/100/3.6*1000000</f>
        <v>81.540565195150606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10063.007392304891</v>
      </c>
      <c r="C16" s="21">
        <f ca="1">C5+C13+C14</f>
        <v>0</v>
      </c>
      <c r="D16" s="21">
        <f t="shared" ref="D16:N16" ca="1" si="1">MAX((D5+D13+D14),0)</f>
        <v>22245.062076236165</v>
      </c>
      <c r="E16" s="21">
        <f t="shared" si="1"/>
        <v>285.00330735496004</v>
      </c>
      <c r="F16" s="21">
        <f t="shared" ca="1" si="1"/>
        <v>1681.7175949071604</v>
      </c>
      <c r="G16" s="21">
        <f t="shared" si="1"/>
        <v>0</v>
      </c>
      <c r="H16" s="21">
        <f t="shared" si="1"/>
        <v>0</v>
      </c>
      <c r="I16" s="21">
        <f t="shared" si="1"/>
        <v>0</v>
      </c>
      <c r="J16" s="21">
        <f t="shared" si="1"/>
        <v>0</v>
      </c>
      <c r="K16" s="21">
        <f t="shared" si="1"/>
        <v>0</v>
      </c>
      <c r="L16" s="21">
        <f t="shared" ca="1" si="1"/>
        <v>0</v>
      </c>
      <c r="M16" s="21">
        <f t="shared" si="1"/>
        <v>0</v>
      </c>
      <c r="N16" s="21">
        <f t="shared" ca="1" si="1"/>
        <v>187.41503087472864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0.21348390266311862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2148.2900906370605</v>
      </c>
      <c r="C20" s="23">
        <f t="shared" ref="C20:P20" ca="1" si="2">C16*C18</f>
        <v>0</v>
      </c>
      <c r="D20" s="23">
        <f t="shared" ca="1" si="2"/>
        <v>4493.5025393997057</v>
      </c>
      <c r="E20" s="23">
        <f t="shared" si="2"/>
        <v>64.695750769575938</v>
      </c>
      <c r="F20" s="23">
        <f t="shared" ca="1" si="2"/>
        <v>449.01859784021184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5482.55414674434</v>
      </c>
      <c r="C26" s="39">
        <f>IF(ISERROR(B26*3.6/1000000/'E Balans VL '!Z12*100),0,B26*3.6/1000000/'E Balans VL '!Z12*100)</f>
        <v>0.11401358241748885</v>
      </c>
      <c r="D26" s="233" t="s">
        <v>676</v>
      </c>
      <c r="F26" s="6"/>
    </row>
    <row r="27" spans="1:18">
      <c r="A27" s="228" t="s">
        <v>52</v>
      </c>
      <c r="B27" s="33">
        <f>IF(ISERROR(TER_horeca_ele_kWh/1000),0,TER_horeca_ele_kWh/1000)</f>
        <v>527.47051735472098</v>
      </c>
      <c r="C27" s="39">
        <f>IF(ISERROR(B27*3.6/1000000/'E Balans VL '!Z9*100),0,B27*3.6/1000000/'E Balans VL '!Z9*100)</f>
        <v>4.3384824371824622E-2</v>
      </c>
      <c r="D27" s="233" t="s">
        <v>676</v>
      </c>
      <c r="F27" s="6"/>
    </row>
    <row r="28" spans="1:18">
      <c r="A28" s="168" t="s">
        <v>51</v>
      </c>
      <c r="B28" s="33">
        <f>IF(ISERROR(TER_handel_ele_kWh/1000),0,TER_handel_ele_kWh/1000)</f>
        <v>1152.44988059957</v>
      </c>
      <c r="C28" s="39">
        <f>IF(ISERROR(B28*3.6/1000000/'E Balans VL '!Z13*100),0,B28*3.6/1000000/'E Balans VL '!Z13*100)</f>
        <v>3.189958739708542E-2</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99.961417385301004</v>
      </c>
      <c r="C30" s="39">
        <f>IF(ISERROR(B30*3.6/1000000/'E Balans VL '!Z14*100),0,B30*3.6/1000000/'E Balans VL '!Z14*100)</f>
        <v>7.7372848535281983E-3</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2800.5714302209603</v>
      </c>
      <c r="C32" s="39">
        <f>IF(ISERROR(B32*3.6/1000000/'E Balans VL '!Z8*100),0,B32*3.6/1000000/'E Balans VL '!Z8*100)</f>
        <v>2.3093735220090471E-2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1290.831974930489</v>
      </c>
      <c r="C5" s="17">
        <f>IF(ISERROR('Eigen informatie GS &amp; warmtenet'!B59),0,'Eigen informatie GS &amp; warmtenet'!B59)</f>
        <v>0</v>
      </c>
      <c r="D5" s="30">
        <f>SUM(D6:D15)</f>
        <v>872.80520843146189</v>
      </c>
      <c r="E5" s="17">
        <f>SUM(E6:E15)</f>
        <v>14.503293439944088</v>
      </c>
      <c r="F5" s="17">
        <f>SUM(F6:F15)</f>
        <v>464.71744614862098</v>
      </c>
      <c r="G5" s="18"/>
      <c r="H5" s="17"/>
      <c r="I5" s="17"/>
      <c r="J5" s="17">
        <f>SUM(J6:J15)</f>
        <v>5.8673214327178931</v>
      </c>
      <c r="K5" s="17"/>
      <c r="L5" s="17"/>
      <c r="M5" s="17"/>
      <c r="N5" s="17">
        <f>SUM(N6:N15)</f>
        <v>43.217579555151104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365.28667139609098</v>
      </c>
      <c r="C9" s="33"/>
      <c r="D9" s="37">
        <f>IF( ISERROR(IND_andere_gas_kWh/1000),0,IND_andere_gas_kWh/1000)*0.902</f>
        <v>198.51697445989566</v>
      </c>
      <c r="E9" s="33">
        <f>C31*'E Balans VL '!I19/100/3.6*1000000</f>
        <v>6.1354371365573845</v>
      </c>
      <c r="F9" s="33">
        <f>C31*'E Balans VL '!L19/100/3.6*1000000+C31*'E Balans VL '!N19/100/3.6*1000000</f>
        <v>285.56031452213324</v>
      </c>
      <c r="G9" s="34"/>
      <c r="H9" s="33"/>
      <c r="I9" s="33"/>
      <c r="J9" s="40">
        <f>C31*'E Balans VL '!D19/100/3.6*1000000+C31*'E Balans VL '!E19/100/3.6*1000000</f>
        <v>3.294563323387515E-2</v>
      </c>
      <c r="K9" s="33"/>
      <c r="L9" s="33"/>
      <c r="M9" s="33"/>
      <c r="N9" s="33">
        <f>C31*'E Balans VL '!Y19/100/3.6*1000000</f>
        <v>27.073602859149723</v>
      </c>
      <c r="O9" s="33"/>
      <c r="P9" s="33"/>
      <c r="R9" s="32"/>
    </row>
    <row r="10" spans="1:18">
      <c r="A10" s="6" t="s">
        <v>40</v>
      </c>
      <c r="B10" s="37">
        <f t="shared" si="0"/>
        <v>152.08140355742401</v>
      </c>
      <c r="C10" s="33"/>
      <c r="D10" s="37">
        <f>IF( ISERROR(IND_voed_gas_kWh/1000),0,IND_voed_gas_kWh/1000)*0.902</f>
        <v>0</v>
      </c>
      <c r="E10" s="33">
        <f>C32*'E Balans VL '!I20/100/3.6*1000000</f>
        <v>1.3875275286337267</v>
      </c>
      <c r="F10" s="33">
        <f>C32*'E Balans VL '!L20/100/3.6*1000000+C32*'E Balans VL '!N20/100/3.6*1000000</f>
        <v>24.535487221736517</v>
      </c>
      <c r="G10" s="34"/>
      <c r="H10" s="33"/>
      <c r="I10" s="33"/>
      <c r="J10" s="40">
        <f>C32*'E Balans VL '!D20/100/3.6*1000000+C32*'E Balans VL '!E20/100/3.6*1000000</f>
        <v>0.62637092924408566</v>
      </c>
      <c r="K10" s="33"/>
      <c r="L10" s="33"/>
      <c r="M10" s="33"/>
      <c r="N10" s="33">
        <f>C32*'E Balans VL '!Y20/100/3.6*1000000</f>
        <v>2.2248310144927386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773.46389997697395</v>
      </c>
      <c r="C15" s="33"/>
      <c r="D15" s="37">
        <f>IF( ISERROR(IND_rest_gas_kWh/1000),0,IND_rest_gas_kWh/1000)*0.902</f>
        <v>674.28823397156623</v>
      </c>
      <c r="E15" s="33">
        <f>C37*'E Balans VL '!I15/100/3.6*1000000</f>
        <v>6.9803287747529765</v>
      </c>
      <c r="F15" s="33">
        <f>C37*'E Balans VL '!L15/100/3.6*1000000+C37*'E Balans VL '!N15/100/3.6*1000000</f>
        <v>154.62164440475127</v>
      </c>
      <c r="G15" s="34"/>
      <c r="H15" s="33"/>
      <c r="I15" s="33"/>
      <c r="J15" s="40">
        <f>C37*'E Balans VL '!D15/100/3.6*1000000+C37*'E Balans VL '!E15/100/3.6*1000000</f>
        <v>5.2080048702399324</v>
      </c>
      <c r="K15" s="33"/>
      <c r="L15" s="33"/>
      <c r="M15" s="33"/>
      <c r="N15" s="33">
        <f>C37*'E Balans VL '!Y15/100/3.6*1000000</f>
        <v>13.919145681508644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1290.831974930489</v>
      </c>
      <c r="C18" s="21">
        <f>C5+C16</f>
        <v>0</v>
      </c>
      <c r="D18" s="21">
        <f>MAX((D5+D16),0)</f>
        <v>872.80520843146189</v>
      </c>
      <c r="E18" s="21">
        <f>MAX((E5+E16),0)</f>
        <v>14.503293439944088</v>
      </c>
      <c r="F18" s="21">
        <f>MAX((F5+F16),0)</f>
        <v>464.71744614862098</v>
      </c>
      <c r="G18" s="21"/>
      <c r="H18" s="21"/>
      <c r="I18" s="21"/>
      <c r="J18" s="21">
        <f>MAX((J5+J16),0)</f>
        <v>5.8673214327178931</v>
      </c>
      <c r="K18" s="21"/>
      <c r="L18" s="21">
        <f>MAX((L5+L16),0)</f>
        <v>0</v>
      </c>
      <c r="M18" s="21"/>
      <c r="N18" s="21">
        <f>MAX((N5+N16),0)</f>
        <v>43.217579555151104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0.21348390266311862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275.57184769050167</v>
      </c>
      <c r="C22" s="23">
        <f ca="1">C18*C20</f>
        <v>0</v>
      </c>
      <c r="D22" s="23">
        <f>D18*D20</f>
        <v>176.3066521031553</v>
      </c>
      <c r="E22" s="23">
        <f>E18*E20</f>
        <v>3.292247610867308</v>
      </c>
      <c r="F22" s="23">
        <f>F18*F20</f>
        <v>124.07955812168181</v>
      </c>
      <c r="G22" s="23"/>
      <c r="H22" s="23"/>
      <c r="I22" s="23"/>
      <c r="J22" s="23">
        <f>J18*J20</f>
        <v>2.077031787182134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365.28667139609098</v>
      </c>
      <c r="C31" s="39">
        <f>IF(ISERROR(B31*3.6/1000000/'E Balans VL '!Z19*100),0,B31*3.6/1000000/'E Balans VL '!Z19*100)</f>
        <v>1.6191710531324306E-2</v>
      </c>
      <c r="D31" s="233" t="s">
        <v>676</v>
      </c>
    </row>
    <row r="32" spans="1:18">
      <c r="A32" s="168" t="s">
        <v>40</v>
      </c>
      <c r="B32" s="37">
        <f>IF( ISERROR(IND_voed_ele_kWh/1000),0,IND_voed_ele_kWh/1000)</f>
        <v>152.08140355742401</v>
      </c>
      <c r="C32" s="39">
        <f>IF(ISERROR(B32*3.6/1000000/'E Balans VL '!Z20*100),0,B32*3.6/1000000/'E Balans VL '!Z20*100)</f>
        <v>5.0799551439010323E-3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773.46389997697395</v>
      </c>
      <c r="C37" s="39">
        <f>IF(ISERROR(B37*3.6/1000000/'E Balans VL '!Z15*100),0,B37*3.6/1000000/'E Balans VL '!Z15*100)</f>
        <v>5.7533113353492914E-3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82.715903322793991</v>
      </c>
      <c r="C5" s="17">
        <f>'Eigen informatie GS &amp; warmtenet'!B60</f>
        <v>0</v>
      </c>
      <c r="D5" s="30">
        <f>IF(ISERROR(SUM(LB_lb_gas_kWh,LB_rest_gas_kWh)/1000),0,SUM(LB_lb_gas_kWh,LB_rest_gas_kWh)/1000)*0.902</f>
        <v>164.4796092971936</v>
      </c>
      <c r="E5" s="17">
        <f>B17*'E Balans VL '!I25/3.6*1000000/100</f>
        <v>0.74537524616897188</v>
      </c>
      <c r="F5" s="17">
        <f>B17*('E Balans VL '!L25/3.6*1000000+'E Balans VL '!N25/3.6*1000000)/100</f>
        <v>309.93901250202265</v>
      </c>
      <c r="G5" s="18"/>
      <c r="H5" s="17"/>
      <c r="I5" s="17"/>
      <c r="J5" s="17">
        <f>('E Balans VL '!D25+'E Balans VL '!E25)/3.6*1000000*landbouw!B17/100</f>
        <v>8.3705073128432552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82.715903322793991</v>
      </c>
      <c r="C8" s="21">
        <f>C5+C6</f>
        <v>0</v>
      </c>
      <c r="D8" s="21">
        <f>MAX((D5+D6),0)</f>
        <v>164.4796092971936</v>
      </c>
      <c r="E8" s="21">
        <f>MAX((E5+E6),0)</f>
        <v>0.74537524616897188</v>
      </c>
      <c r="F8" s="21">
        <f>MAX((F5+F6),0)</f>
        <v>309.93901250202265</v>
      </c>
      <c r="G8" s="21"/>
      <c r="H8" s="21"/>
      <c r="I8" s="21"/>
      <c r="J8" s="21">
        <f>MAX((J5+J6),0)</f>
        <v>8.3705073128432552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0.21348390266311862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17.658513853655283</v>
      </c>
      <c r="C12" s="23">
        <f ca="1">C8*C10</f>
        <v>0</v>
      </c>
      <c r="D12" s="23">
        <f>D8*D10</f>
        <v>33.224881078033107</v>
      </c>
      <c r="E12" s="23">
        <f>E8*E10</f>
        <v>0.16920018088035663</v>
      </c>
      <c r="F12" s="23">
        <f>F8*F10</f>
        <v>82.75371633804005</v>
      </c>
      <c r="G12" s="23"/>
      <c r="H12" s="23"/>
      <c r="I12" s="23"/>
      <c r="J12" s="23">
        <f>J8*J10</f>
        <v>2.9631595887465121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1.2731574233382009E-2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6.5595407362800033</v>
      </c>
      <c r="C26" s="243">
        <f>B26*'GWP N2O_CH4'!B5</f>
        <v>137.75035546188008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0.32777196294658711</v>
      </c>
      <c r="C27" s="243">
        <f>B27*'GWP N2O_CH4'!B5</f>
        <v>6.8832112218783292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0.12386672246803888</v>
      </c>
      <c r="C28" s="243">
        <f>B28*'GWP N2O_CH4'!B4</f>
        <v>38.398683965092054</v>
      </c>
      <c r="D28" s="50"/>
    </row>
    <row r="29" spans="1:4">
      <c r="A29" s="41" t="s">
        <v>266</v>
      </c>
      <c r="B29" s="243">
        <f>B34*'ha_N2O bodem landbouw'!B4</f>
        <v>0.60705216216835078</v>
      </c>
      <c r="C29" s="243">
        <f>B29*'GWP N2O_CH4'!B4</f>
        <v>188.18617027218875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1.5760956838768386E-4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4.1674620318085801E-7</v>
      </c>
      <c r="C5" s="431" t="s">
        <v>204</v>
      </c>
      <c r="D5" s="416">
        <f>SUM(D6:D11)</f>
        <v>1.3262202559734958E-6</v>
      </c>
      <c r="E5" s="416">
        <f>SUM(E6:E11)</f>
        <v>1.3705699108885542E-4</v>
      </c>
      <c r="F5" s="429" t="s">
        <v>204</v>
      </c>
      <c r="G5" s="416">
        <f>SUM(G6:G11)</f>
        <v>2.323182237178022E-2</v>
      </c>
      <c r="H5" s="416">
        <f>SUM(H6:H11)</f>
        <v>4.5962624095478438E-3</v>
      </c>
      <c r="I5" s="431" t="s">
        <v>204</v>
      </c>
      <c r="J5" s="431" t="s">
        <v>204</v>
      </c>
      <c r="K5" s="431" t="s">
        <v>204</v>
      </c>
      <c r="L5" s="431" t="s">
        <v>204</v>
      </c>
      <c r="M5" s="416">
        <f>SUM(M6:M11)</f>
        <v>1.2123510767828459E-3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3.8477570750345349E-7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1.2145356189700344E-6</v>
      </c>
      <c r="E6" s="419">
        <f>vkm_GW_PW*SUMIFS(TableVerdeelsleutelVkm[LPG],TableVerdeelsleutelVkm[Voertuigtype],"Lichte voertuigen")*SUMIFS(TableECFTransport[EnergieConsumptieFactor (PJ per km)],TableECFTransport[Index],CONCATENATE($A6,"_LPG_LPG"))</f>
        <v>1.2613980200835577E-4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1.6837455192871109E-2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4.2288431608956184E-3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9.1997653854888829E-4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1.1106755716301117E-8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5.0066536728046833E-3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1.4731754747778163E-7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2.1568926355037797E-4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2.0861417096857534E-8</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1.1168463700346135E-7</v>
      </c>
      <c r="E8" s="419">
        <f>vkm_NGW_PW*SUMIFS(TableVerdeelsleutelVkm[LPG],TableVerdeelsleutelVkm[Voertuigtype],"Lichte voertuigen")*SUMIFS(TableECFTransport[EnergieConsumptieFactor (PJ per km)],TableECFTransport[Index],CONCATENATE($A8,"_LPG_LPG"))</f>
        <v>1.0917189080499639E-5</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1.3862631215161361E-3</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3.6727189391634401E-4</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7.662279160815713E-5</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2.3228642458888058E-12</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1.4503845882907167E-6</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3.7188403599337582E-11</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6.248307542243186E-8</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0.115762834216905</v>
      </c>
      <c r="C14" s="21"/>
      <c r="D14" s="21">
        <f t="shared" ref="D14:M14" si="0">((D5)*10^9/3600)+D12</f>
        <v>0.3683945155481933</v>
      </c>
      <c r="E14" s="21">
        <f t="shared" si="0"/>
        <v>38.071386413570956</v>
      </c>
      <c r="F14" s="21"/>
      <c r="G14" s="21">
        <f t="shared" si="0"/>
        <v>6453.2839921611721</v>
      </c>
      <c r="H14" s="21">
        <f t="shared" si="0"/>
        <v>1276.7395582077345</v>
      </c>
      <c r="I14" s="21"/>
      <c r="J14" s="21"/>
      <c r="K14" s="21"/>
      <c r="L14" s="21"/>
      <c r="M14" s="21">
        <f t="shared" si="0"/>
        <v>336.76418799523498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0.21348390266311862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2.4713501631968487E-2</v>
      </c>
      <c r="C18" s="23"/>
      <c r="D18" s="23">
        <f t="shared" ref="D18:M18" si="1">D14*D16</f>
        <v>7.4415692140735054E-2</v>
      </c>
      <c r="E18" s="23">
        <f t="shared" si="1"/>
        <v>8.6422047158806077</v>
      </c>
      <c r="F18" s="23"/>
      <c r="G18" s="23">
        <f t="shared" si="1"/>
        <v>1723.0268259070331</v>
      </c>
      <c r="H18" s="23">
        <f t="shared" si="1"/>
        <v>317.90814999372589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9.2850738155076275E-6</v>
      </c>
      <c r="C50" s="313">
        <f t="shared" ref="C50:P50" si="2">SUM(C51:C52)</f>
        <v>0</v>
      </c>
      <c r="D50" s="313">
        <f t="shared" si="2"/>
        <v>0</v>
      </c>
      <c r="E50" s="313">
        <f t="shared" si="2"/>
        <v>0</v>
      </c>
      <c r="F50" s="313">
        <f t="shared" si="2"/>
        <v>0</v>
      </c>
      <c r="G50" s="313">
        <f t="shared" si="2"/>
        <v>2.0143035434484632E-3</v>
      </c>
      <c r="H50" s="313">
        <f t="shared" si="2"/>
        <v>0</v>
      </c>
      <c r="I50" s="313">
        <f t="shared" si="2"/>
        <v>0</v>
      </c>
      <c r="J50" s="313">
        <f t="shared" si="2"/>
        <v>0</v>
      </c>
      <c r="K50" s="313">
        <f t="shared" si="2"/>
        <v>0</v>
      </c>
      <c r="L50" s="313">
        <f t="shared" si="2"/>
        <v>0</v>
      </c>
      <c r="M50" s="313">
        <f t="shared" si="2"/>
        <v>8.624474028893536E-5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9.2850738155076275E-6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2.0143035434484632E-3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8.624474028893536E-5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2.579187170974341</v>
      </c>
      <c r="C54" s="21">
        <f t="shared" ref="C54:P54" si="3">(C50)*10^9/3600</f>
        <v>0</v>
      </c>
      <c r="D54" s="21">
        <f t="shared" si="3"/>
        <v>0</v>
      </c>
      <c r="E54" s="21">
        <f t="shared" si="3"/>
        <v>0</v>
      </c>
      <c r="F54" s="21">
        <f t="shared" si="3"/>
        <v>0</v>
      </c>
      <c r="G54" s="21">
        <f t="shared" si="3"/>
        <v>559.52876206901749</v>
      </c>
      <c r="H54" s="21">
        <f t="shared" si="3"/>
        <v>0</v>
      </c>
      <c r="I54" s="21">
        <f t="shared" si="3"/>
        <v>0</v>
      </c>
      <c r="J54" s="21">
        <f t="shared" si="3"/>
        <v>0</v>
      </c>
      <c r="K54" s="21">
        <f t="shared" si="3"/>
        <v>0</v>
      </c>
      <c r="L54" s="21">
        <f t="shared" si="3"/>
        <v>0</v>
      </c>
      <c r="M54" s="21">
        <f t="shared" si="3"/>
        <v>23.956872302482044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0.21348390266311862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0.55061494295825053</v>
      </c>
      <c r="C58" s="23">
        <f t="shared" ref="C58:P58" ca="1" si="4">C54*C56</f>
        <v>0</v>
      </c>
      <c r="D58" s="23">
        <f t="shared" si="4"/>
        <v>0</v>
      </c>
      <c r="E58" s="23">
        <f t="shared" si="4"/>
        <v>0</v>
      </c>
      <c r="F58" s="23">
        <f t="shared" si="4"/>
        <v>0</v>
      </c>
      <c r="G58" s="23">
        <f t="shared" si="4"/>
        <v>149.39417947242768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967.45946793282724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967.45946793282724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10678.814392304892</v>
      </c>
      <c r="D10" s="635">
        <f ca="1">tertiair!C16</f>
        <v>0</v>
      </c>
      <c r="E10" s="635">
        <f ca="1">tertiair!D16</f>
        <v>22245.062076236165</v>
      </c>
      <c r="F10" s="635">
        <f>tertiair!E16</f>
        <v>285.00330735496004</v>
      </c>
      <c r="G10" s="635">
        <f ca="1">tertiair!F16</f>
        <v>1681.7175949071604</v>
      </c>
      <c r="H10" s="635">
        <f>tertiair!G16</f>
        <v>0</v>
      </c>
      <c r="I10" s="635">
        <f>tertiair!H16</f>
        <v>0</v>
      </c>
      <c r="J10" s="635">
        <f>tertiair!I16</f>
        <v>0</v>
      </c>
      <c r="K10" s="635">
        <f>tertiair!J16</f>
        <v>0</v>
      </c>
      <c r="L10" s="635">
        <f>tertiair!K16</f>
        <v>0</v>
      </c>
      <c r="M10" s="635">
        <f ca="1">tertiair!L16</f>
        <v>0</v>
      </c>
      <c r="N10" s="635">
        <f>tertiair!M16</f>
        <v>0</v>
      </c>
      <c r="O10" s="635">
        <f ca="1">tertiair!N16</f>
        <v>187.41503087472864</v>
      </c>
      <c r="P10" s="635">
        <f>tertiair!O16</f>
        <v>0</v>
      </c>
      <c r="Q10" s="636">
        <f>tertiair!P16</f>
        <v>0</v>
      </c>
      <c r="R10" s="638">
        <f ca="1">SUM(C10:Q10)</f>
        <v>35078.012401677901</v>
      </c>
      <c r="S10" s="67"/>
    </row>
    <row r="11" spans="1:19" s="441" customFormat="1">
      <c r="A11" s="749" t="s">
        <v>214</v>
      </c>
      <c r="B11" s="754"/>
      <c r="C11" s="635">
        <f>huishoudens!B8</f>
        <v>15907.476344751301</v>
      </c>
      <c r="D11" s="635">
        <f>huishoudens!C8</f>
        <v>0</v>
      </c>
      <c r="E11" s="635">
        <f>huishoudens!D8</f>
        <v>43465.902746890155</v>
      </c>
      <c r="F11" s="635">
        <f>huishoudens!E8</f>
        <v>318.69159219691034</v>
      </c>
      <c r="G11" s="635">
        <f>huishoudens!F8</f>
        <v>10878.344895663538</v>
      </c>
      <c r="H11" s="635">
        <f>huishoudens!G8</f>
        <v>0</v>
      </c>
      <c r="I11" s="635">
        <f>huishoudens!H8</f>
        <v>0</v>
      </c>
      <c r="J11" s="635">
        <f>huishoudens!I8</f>
        <v>0</v>
      </c>
      <c r="K11" s="635">
        <f>huishoudens!J8</f>
        <v>244.95274732195685</v>
      </c>
      <c r="L11" s="635">
        <f>huishoudens!K8</f>
        <v>0</v>
      </c>
      <c r="M11" s="635">
        <f>huishoudens!L8</f>
        <v>0</v>
      </c>
      <c r="N11" s="635">
        <f>huishoudens!M8</f>
        <v>0</v>
      </c>
      <c r="O11" s="635">
        <f>huishoudens!N8</f>
        <v>3660.1124407975999</v>
      </c>
      <c r="P11" s="635">
        <f>huishoudens!O8</f>
        <v>39.083333333333336</v>
      </c>
      <c r="Q11" s="636">
        <f>huishoudens!P8</f>
        <v>95.333333333333343</v>
      </c>
      <c r="R11" s="638">
        <f>SUM(C11:Q11)</f>
        <v>74609.897434288127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1290.831974930489</v>
      </c>
      <c r="D13" s="635">
        <f>industrie!C18</f>
        <v>0</v>
      </c>
      <c r="E13" s="635">
        <f>industrie!D18</f>
        <v>872.80520843146189</v>
      </c>
      <c r="F13" s="635">
        <f>industrie!E18</f>
        <v>14.503293439944088</v>
      </c>
      <c r="G13" s="635">
        <f>industrie!F18</f>
        <v>464.71744614862098</v>
      </c>
      <c r="H13" s="635">
        <f>industrie!G18</f>
        <v>0</v>
      </c>
      <c r="I13" s="635">
        <f>industrie!H18</f>
        <v>0</v>
      </c>
      <c r="J13" s="635">
        <f>industrie!I18</f>
        <v>0</v>
      </c>
      <c r="K13" s="635">
        <f>industrie!J18</f>
        <v>5.8673214327178931</v>
      </c>
      <c r="L13" s="635">
        <f>industrie!K18</f>
        <v>0</v>
      </c>
      <c r="M13" s="635">
        <f>industrie!L18</f>
        <v>0</v>
      </c>
      <c r="N13" s="635">
        <f>industrie!M18</f>
        <v>0</v>
      </c>
      <c r="O13" s="635">
        <f>industrie!N18</f>
        <v>43.217579555151104</v>
      </c>
      <c r="P13" s="635">
        <f>industrie!O18</f>
        <v>0</v>
      </c>
      <c r="Q13" s="636">
        <f>industrie!P18</f>
        <v>0</v>
      </c>
      <c r="R13" s="638">
        <f>SUM(C13:Q13)</f>
        <v>2691.9428239383851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27877.122711986685</v>
      </c>
      <c r="D16" s="668">
        <f t="shared" ref="D16:R16" ca="1" si="0">SUM(D9:D15)</f>
        <v>0</v>
      </c>
      <c r="E16" s="668">
        <f t="shared" ca="1" si="0"/>
        <v>66583.770031557782</v>
      </c>
      <c r="F16" s="668">
        <f t="shared" si="0"/>
        <v>618.19819299181438</v>
      </c>
      <c r="G16" s="668">
        <f t="shared" ca="1" si="0"/>
        <v>13024.77993671932</v>
      </c>
      <c r="H16" s="668">
        <f t="shared" si="0"/>
        <v>0</v>
      </c>
      <c r="I16" s="668">
        <f t="shared" si="0"/>
        <v>0</v>
      </c>
      <c r="J16" s="668">
        <f t="shared" si="0"/>
        <v>0</v>
      </c>
      <c r="K16" s="668">
        <f t="shared" si="0"/>
        <v>250.82006875467474</v>
      </c>
      <c r="L16" s="668">
        <f t="shared" si="0"/>
        <v>0</v>
      </c>
      <c r="M16" s="668">
        <f t="shared" ca="1" si="0"/>
        <v>0</v>
      </c>
      <c r="N16" s="668">
        <f t="shared" si="0"/>
        <v>0</v>
      </c>
      <c r="O16" s="668">
        <f t="shared" ca="1" si="0"/>
        <v>3890.7450512274795</v>
      </c>
      <c r="P16" s="668">
        <f t="shared" si="0"/>
        <v>39.083333333333336</v>
      </c>
      <c r="Q16" s="668">
        <f t="shared" si="0"/>
        <v>95.333333333333343</v>
      </c>
      <c r="R16" s="668">
        <f t="shared" ca="1" si="0"/>
        <v>112379.85265990441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2.579187170974341</v>
      </c>
      <c r="D19" s="635">
        <f>transport!C54</f>
        <v>0</v>
      </c>
      <c r="E19" s="635">
        <f>transport!D54</f>
        <v>0</v>
      </c>
      <c r="F19" s="635">
        <f>transport!E54</f>
        <v>0</v>
      </c>
      <c r="G19" s="635">
        <f>transport!F54</f>
        <v>0</v>
      </c>
      <c r="H19" s="635">
        <f>transport!G54</f>
        <v>559.52876206901749</v>
      </c>
      <c r="I19" s="635">
        <f>transport!H54</f>
        <v>0</v>
      </c>
      <c r="J19" s="635">
        <f>transport!I54</f>
        <v>0</v>
      </c>
      <c r="K19" s="635">
        <f>transport!J54</f>
        <v>0</v>
      </c>
      <c r="L19" s="635">
        <f>transport!K54</f>
        <v>0</v>
      </c>
      <c r="M19" s="635">
        <f>transport!L54</f>
        <v>0</v>
      </c>
      <c r="N19" s="635">
        <f>transport!M54</f>
        <v>23.956872302482044</v>
      </c>
      <c r="O19" s="635">
        <f>transport!N54</f>
        <v>0</v>
      </c>
      <c r="P19" s="635">
        <f>transport!O54</f>
        <v>0</v>
      </c>
      <c r="Q19" s="636">
        <f>transport!P54</f>
        <v>0</v>
      </c>
      <c r="R19" s="638">
        <f>SUM(C19:Q19)</f>
        <v>586.06482154247385</v>
      </c>
      <c r="S19" s="67"/>
    </row>
    <row r="20" spans="1:19" s="441" customFormat="1">
      <c r="A20" s="749" t="s">
        <v>296</v>
      </c>
      <c r="B20" s="754"/>
      <c r="C20" s="635">
        <f>transport!B14</f>
        <v>0.115762834216905</v>
      </c>
      <c r="D20" s="635">
        <f>transport!C14</f>
        <v>0</v>
      </c>
      <c r="E20" s="635">
        <f>transport!D14</f>
        <v>0.3683945155481933</v>
      </c>
      <c r="F20" s="635">
        <f>transport!E14</f>
        <v>38.071386413570956</v>
      </c>
      <c r="G20" s="635">
        <f>transport!F14</f>
        <v>0</v>
      </c>
      <c r="H20" s="635">
        <f>transport!G14</f>
        <v>6453.2839921611721</v>
      </c>
      <c r="I20" s="635">
        <f>transport!H14</f>
        <v>1276.7395582077345</v>
      </c>
      <c r="J20" s="635">
        <f>transport!I14</f>
        <v>0</v>
      </c>
      <c r="K20" s="635">
        <f>transport!J14</f>
        <v>0</v>
      </c>
      <c r="L20" s="635">
        <f>transport!K14</f>
        <v>0</v>
      </c>
      <c r="M20" s="635">
        <f>transport!L14</f>
        <v>0</v>
      </c>
      <c r="N20" s="635">
        <f>transport!M14</f>
        <v>336.76418799523498</v>
      </c>
      <c r="O20" s="635">
        <f>transport!N14</f>
        <v>0</v>
      </c>
      <c r="P20" s="635">
        <f>transport!O14</f>
        <v>0</v>
      </c>
      <c r="Q20" s="636">
        <f>transport!P14</f>
        <v>0</v>
      </c>
      <c r="R20" s="638">
        <f>SUM(C20:Q20)</f>
        <v>8105.3432821274773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2.6949500051912461</v>
      </c>
      <c r="D22" s="752">
        <f t="shared" ref="D22:R22" si="1">SUM(D18:D21)</f>
        <v>0</v>
      </c>
      <c r="E22" s="752">
        <f t="shared" si="1"/>
        <v>0.3683945155481933</v>
      </c>
      <c r="F22" s="752">
        <f t="shared" si="1"/>
        <v>38.071386413570956</v>
      </c>
      <c r="G22" s="752">
        <f t="shared" si="1"/>
        <v>0</v>
      </c>
      <c r="H22" s="752">
        <f t="shared" si="1"/>
        <v>7012.81275423019</v>
      </c>
      <c r="I22" s="752">
        <f t="shared" si="1"/>
        <v>1276.7395582077345</v>
      </c>
      <c r="J22" s="752">
        <f t="shared" si="1"/>
        <v>0</v>
      </c>
      <c r="K22" s="752">
        <f t="shared" si="1"/>
        <v>0</v>
      </c>
      <c r="L22" s="752">
        <f t="shared" si="1"/>
        <v>0</v>
      </c>
      <c r="M22" s="752">
        <f t="shared" si="1"/>
        <v>0</v>
      </c>
      <c r="N22" s="752">
        <f t="shared" si="1"/>
        <v>360.72106029771703</v>
      </c>
      <c r="O22" s="752">
        <f t="shared" si="1"/>
        <v>0</v>
      </c>
      <c r="P22" s="752">
        <f t="shared" si="1"/>
        <v>0</v>
      </c>
      <c r="Q22" s="752">
        <f t="shared" si="1"/>
        <v>0</v>
      </c>
      <c r="R22" s="752">
        <f t="shared" si="1"/>
        <v>8691.4081036699517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82.715903322793991</v>
      </c>
      <c r="D24" s="635">
        <f>+landbouw!C8</f>
        <v>0</v>
      </c>
      <c r="E24" s="635">
        <f>+landbouw!D8</f>
        <v>164.4796092971936</v>
      </c>
      <c r="F24" s="635">
        <f>+landbouw!E8</f>
        <v>0.74537524616897188</v>
      </c>
      <c r="G24" s="635">
        <f>+landbouw!F8</f>
        <v>309.93901250202265</v>
      </c>
      <c r="H24" s="635">
        <f>+landbouw!G8</f>
        <v>0</v>
      </c>
      <c r="I24" s="635">
        <f>+landbouw!H8</f>
        <v>0</v>
      </c>
      <c r="J24" s="635">
        <f>+landbouw!I8</f>
        <v>0</v>
      </c>
      <c r="K24" s="635">
        <f>+landbouw!J8</f>
        <v>8.3705073128432552</v>
      </c>
      <c r="L24" s="635">
        <f>+landbouw!K8</f>
        <v>0</v>
      </c>
      <c r="M24" s="635">
        <f>+landbouw!L8</f>
        <v>0</v>
      </c>
      <c r="N24" s="635">
        <f>+landbouw!M8</f>
        <v>0</v>
      </c>
      <c r="O24" s="635">
        <f>+landbouw!N8</f>
        <v>0</v>
      </c>
      <c r="P24" s="635">
        <f>+landbouw!O8</f>
        <v>0</v>
      </c>
      <c r="Q24" s="636">
        <f>+landbouw!P8</f>
        <v>0</v>
      </c>
      <c r="R24" s="638">
        <f>SUM(C24:Q24)</f>
        <v>566.25040768102258</v>
      </c>
      <c r="S24" s="67"/>
    </row>
    <row r="25" spans="1:19" s="441" customFormat="1" ht="15" thickBot="1">
      <c r="A25" s="771" t="s">
        <v>864</v>
      </c>
      <c r="B25" s="923"/>
      <c r="C25" s="924">
        <f>IF(Onbekend_ele_kWh="---",0,Onbekend_ele_kWh)/1000+IF(REST_rest_ele_kWh="---",0,REST_rest_ele_kWh)/1000</f>
        <v>484.21650057372699</v>
      </c>
      <c r="D25" s="924"/>
      <c r="E25" s="924">
        <f>IF(onbekend_gas_kWh="---",0,onbekend_gas_kWh)/1000+IF(REST_rest_gas_kWh="---",0,REST_rest_gas_kWh)/1000</f>
        <v>1555.74828639016</v>
      </c>
      <c r="F25" s="924"/>
      <c r="G25" s="924"/>
      <c r="H25" s="924"/>
      <c r="I25" s="924"/>
      <c r="J25" s="924"/>
      <c r="K25" s="924"/>
      <c r="L25" s="924"/>
      <c r="M25" s="924"/>
      <c r="N25" s="924"/>
      <c r="O25" s="924"/>
      <c r="P25" s="924"/>
      <c r="Q25" s="925"/>
      <c r="R25" s="638">
        <f>SUM(C25:Q25)</f>
        <v>2039.964786963887</v>
      </c>
      <c r="S25" s="67"/>
    </row>
    <row r="26" spans="1:19" s="441" customFormat="1" ht="15.75" thickBot="1">
      <c r="A26" s="641" t="s">
        <v>865</v>
      </c>
      <c r="B26" s="757"/>
      <c r="C26" s="752">
        <f>SUM(C24:C25)</f>
        <v>566.93240389652101</v>
      </c>
      <c r="D26" s="752">
        <f t="shared" ref="D26:R26" si="2">SUM(D24:D25)</f>
        <v>0</v>
      </c>
      <c r="E26" s="752">
        <f t="shared" si="2"/>
        <v>1720.2278956873536</v>
      </c>
      <c r="F26" s="752">
        <f t="shared" si="2"/>
        <v>0.74537524616897188</v>
      </c>
      <c r="G26" s="752">
        <f t="shared" si="2"/>
        <v>309.93901250202265</v>
      </c>
      <c r="H26" s="752">
        <f t="shared" si="2"/>
        <v>0</v>
      </c>
      <c r="I26" s="752">
        <f t="shared" si="2"/>
        <v>0</v>
      </c>
      <c r="J26" s="752">
        <f t="shared" si="2"/>
        <v>0</v>
      </c>
      <c r="K26" s="752">
        <f t="shared" si="2"/>
        <v>8.3705073128432552</v>
      </c>
      <c r="L26" s="752">
        <f t="shared" si="2"/>
        <v>0</v>
      </c>
      <c r="M26" s="752">
        <f t="shared" si="2"/>
        <v>0</v>
      </c>
      <c r="N26" s="752">
        <f t="shared" si="2"/>
        <v>0</v>
      </c>
      <c r="O26" s="752">
        <f t="shared" si="2"/>
        <v>0</v>
      </c>
      <c r="P26" s="752">
        <f t="shared" si="2"/>
        <v>0</v>
      </c>
      <c r="Q26" s="752">
        <f t="shared" si="2"/>
        <v>0</v>
      </c>
      <c r="R26" s="752">
        <f t="shared" si="2"/>
        <v>2606.2151946449094</v>
      </c>
      <c r="S26" s="67"/>
    </row>
    <row r="27" spans="1:19" s="441" customFormat="1" ht="17.25" thickTop="1" thickBot="1">
      <c r="A27" s="642" t="s">
        <v>109</v>
      </c>
      <c r="B27" s="744"/>
      <c r="C27" s="643">
        <f ca="1">C22+C16+C26</f>
        <v>28446.750065888398</v>
      </c>
      <c r="D27" s="643">
        <f t="shared" ref="D27:R27" ca="1" si="3">D22+D16+D26</f>
        <v>0</v>
      </c>
      <c r="E27" s="643">
        <f t="shared" ca="1" si="3"/>
        <v>68304.366321760681</v>
      </c>
      <c r="F27" s="643">
        <f t="shared" si="3"/>
        <v>657.01495465155426</v>
      </c>
      <c r="G27" s="643">
        <f t="shared" ca="1" si="3"/>
        <v>13334.718949221342</v>
      </c>
      <c r="H27" s="643">
        <f t="shared" si="3"/>
        <v>7012.81275423019</v>
      </c>
      <c r="I27" s="643">
        <f t="shared" si="3"/>
        <v>1276.7395582077345</v>
      </c>
      <c r="J27" s="643">
        <f t="shared" si="3"/>
        <v>0</v>
      </c>
      <c r="K27" s="643">
        <f t="shared" si="3"/>
        <v>259.19057606751801</v>
      </c>
      <c r="L27" s="643">
        <f t="shared" si="3"/>
        <v>0</v>
      </c>
      <c r="M27" s="643">
        <f t="shared" ca="1" si="3"/>
        <v>0</v>
      </c>
      <c r="N27" s="643">
        <f t="shared" si="3"/>
        <v>360.72106029771703</v>
      </c>
      <c r="O27" s="643">
        <f t="shared" ca="1" si="3"/>
        <v>3890.7450512274795</v>
      </c>
      <c r="P27" s="643">
        <f t="shared" si="3"/>
        <v>39.083333333333336</v>
      </c>
      <c r="Q27" s="643">
        <f t="shared" si="3"/>
        <v>95.333333333333343</v>
      </c>
      <c r="R27" s="643">
        <f t="shared" ca="1" si="3"/>
        <v>123677.47595821928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2279.7549722843278</v>
      </c>
      <c r="D40" s="635">
        <f ca="1">tertiair!C20</f>
        <v>0</v>
      </c>
      <c r="E40" s="635">
        <f ca="1">tertiair!D20</f>
        <v>4493.5025393997057</v>
      </c>
      <c r="F40" s="635">
        <f>tertiair!E20</f>
        <v>64.695750769575938</v>
      </c>
      <c r="G40" s="635">
        <f ca="1">tertiair!F20</f>
        <v>449.01859784021184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7286.971860293821</v>
      </c>
    </row>
    <row r="41" spans="1:18">
      <c r="A41" s="762" t="s">
        <v>214</v>
      </c>
      <c r="B41" s="769"/>
      <c r="C41" s="635">
        <f ca="1">huishoudens!B12</f>
        <v>3395.9901315987486</v>
      </c>
      <c r="D41" s="635">
        <f ca="1">huishoudens!C12</f>
        <v>0</v>
      </c>
      <c r="E41" s="635">
        <f>huishoudens!D12</f>
        <v>8780.1123548718115</v>
      </c>
      <c r="F41" s="635">
        <f>huishoudens!E12</f>
        <v>72.342991428698653</v>
      </c>
      <c r="G41" s="635">
        <f>huishoudens!F12</f>
        <v>2904.5180871421649</v>
      </c>
      <c r="H41" s="635">
        <f>huishoudens!G12</f>
        <v>0</v>
      </c>
      <c r="I41" s="635">
        <f>huishoudens!H12</f>
        <v>0</v>
      </c>
      <c r="J41" s="635">
        <f>huishoudens!I12</f>
        <v>0</v>
      </c>
      <c r="K41" s="635">
        <f>huishoudens!J12</f>
        <v>86.713272551972722</v>
      </c>
      <c r="L41" s="635">
        <f>huishoudens!K12</f>
        <v>0</v>
      </c>
      <c r="M41" s="635">
        <f>huishoudens!L12</f>
        <v>0</v>
      </c>
      <c r="N41" s="635">
        <f>huishoudens!M12</f>
        <v>0</v>
      </c>
      <c r="O41" s="635">
        <f>huishoudens!N12</f>
        <v>0</v>
      </c>
      <c r="P41" s="635">
        <f>huishoudens!O12</f>
        <v>0</v>
      </c>
      <c r="Q41" s="710">
        <f>huishoudens!P12</f>
        <v>0</v>
      </c>
      <c r="R41" s="790">
        <f t="shared" ca="1" si="4"/>
        <v>15239.676837593397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275.57184769050167</v>
      </c>
      <c r="D43" s="635">
        <f ca="1">industrie!C22</f>
        <v>0</v>
      </c>
      <c r="E43" s="635">
        <f>industrie!D22</f>
        <v>176.3066521031553</v>
      </c>
      <c r="F43" s="635">
        <f>industrie!E22</f>
        <v>3.292247610867308</v>
      </c>
      <c r="G43" s="635">
        <f>industrie!F22</f>
        <v>124.07955812168181</v>
      </c>
      <c r="H43" s="635">
        <f>industrie!G22</f>
        <v>0</v>
      </c>
      <c r="I43" s="635">
        <f>industrie!H22</f>
        <v>0</v>
      </c>
      <c r="J43" s="635">
        <f>industrie!I22</f>
        <v>0</v>
      </c>
      <c r="K43" s="635">
        <f>industrie!J22</f>
        <v>2.077031787182134</v>
      </c>
      <c r="L43" s="635">
        <f>industrie!K22</f>
        <v>0</v>
      </c>
      <c r="M43" s="635">
        <f>industrie!L22</f>
        <v>0</v>
      </c>
      <c r="N43" s="635">
        <f>industrie!M22</f>
        <v>0</v>
      </c>
      <c r="O43" s="635">
        <f>industrie!N22</f>
        <v>0</v>
      </c>
      <c r="P43" s="635">
        <f>industrie!O22</f>
        <v>0</v>
      </c>
      <c r="Q43" s="710">
        <f>industrie!P22</f>
        <v>0</v>
      </c>
      <c r="R43" s="789">
        <f t="shared" ca="1" si="4"/>
        <v>581.32733731338817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5951.3169515735781</v>
      </c>
      <c r="D46" s="668">
        <f t="shared" ref="D46:Q46" ca="1" si="5">SUM(D39:D45)</f>
        <v>0</v>
      </c>
      <c r="E46" s="668">
        <f t="shared" ca="1" si="5"/>
        <v>13449.921546374673</v>
      </c>
      <c r="F46" s="668">
        <f t="shared" si="5"/>
        <v>140.3309898091419</v>
      </c>
      <c r="G46" s="668">
        <f t="shared" ca="1" si="5"/>
        <v>3477.6162431040584</v>
      </c>
      <c r="H46" s="668">
        <f t="shared" si="5"/>
        <v>0</v>
      </c>
      <c r="I46" s="668">
        <f t="shared" si="5"/>
        <v>0</v>
      </c>
      <c r="J46" s="668">
        <f t="shared" si="5"/>
        <v>0</v>
      </c>
      <c r="K46" s="668">
        <f t="shared" si="5"/>
        <v>88.790304339154858</v>
      </c>
      <c r="L46" s="668">
        <f t="shared" si="5"/>
        <v>0</v>
      </c>
      <c r="M46" s="668">
        <f t="shared" ca="1" si="5"/>
        <v>0</v>
      </c>
      <c r="N46" s="668">
        <f t="shared" si="5"/>
        <v>0</v>
      </c>
      <c r="O46" s="668">
        <f t="shared" ca="1" si="5"/>
        <v>0</v>
      </c>
      <c r="P46" s="668">
        <f t="shared" si="5"/>
        <v>0</v>
      </c>
      <c r="Q46" s="668">
        <f t="shared" si="5"/>
        <v>0</v>
      </c>
      <c r="R46" s="668">
        <f ca="1">SUM(R39:R45)</f>
        <v>23107.976035200609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0.55061494295825053</v>
      </c>
      <c r="D49" s="635">
        <f ca="1">transport!C58</f>
        <v>0</v>
      </c>
      <c r="E49" s="635">
        <f>transport!D58</f>
        <v>0</v>
      </c>
      <c r="F49" s="635">
        <f>transport!E58</f>
        <v>0</v>
      </c>
      <c r="G49" s="635">
        <f>transport!F58</f>
        <v>0</v>
      </c>
      <c r="H49" s="635">
        <f>transport!G58</f>
        <v>149.39417947242768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149.94479441538593</v>
      </c>
    </row>
    <row r="50" spans="1:18">
      <c r="A50" s="765" t="s">
        <v>296</v>
      </c>
      <c r="B50" s="775"/>
      <c r="C50" s="930">
        <f ca="1">transport!B18</f>
        <v>2.4713501631968487E-2</v>
      </c>
      <c r="D50" s="930">
        <f>transport!C18</f>
        <v>0</v>
      </c>
      <c r="E50" s="930">
        <f>transport!D18</f>
        <v>7.4415692140735054E-2</v>
      </c>
      <c r="F50" s="930">
        <f>transport!E18</f>
        <v>8.6422047158806077</v>
      </c>
      <c r="G50" s="930">
        <f>transport!F18</f>
        <v>0</v>
      </c>
      <c r="H50" s="930">
        <f>transport!G18</f>
        <v>1723.0268259070331</v>
      </c>
      <c r="I50" s="930">
        <f>transport!H18</f>
        <v>317.90814999372589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2049.6763098104125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0.57532844459021903</v>
      </c>
      <c r="D52" s="668">
        <f t="shared" ref="D52:Q52" ca="1" si="6">SUM(D48:D51)</f>
        <v>0</v>
      </c>
      <c r="E52" s="668">
        <f t="shared" si="6"/>
        <v>7.4415692140735054E-2</v>
      </c>
      <c r="F52" s="668">
        <f t="shared" si="6"/>
        <v>8.6422047158806077</v>
      </c>
      <c r="G52" s="668">
        <f t="shared" si="6"/>
        <v>0</v>
      </c>
      <c r="H52" s="668">
        <f t="shared" si="6"/>
        <v>1872.4210053794607</v>
      </c>
      <c r="I52" s="668">
        <f t="shared" si="6"/>
        <v>317.90814999372589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2199.6211042257983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17.658513853655283</v>
      </c>
      <c r="D54" s="930">
        <f ca="1">+landbouw!C12</f>
        <v>0</v>
      </c>
      <c r="E54" s="930">
        <f>+landbouw!D12</f>
        <v>33.224881078033107</v>
      </c>
      <c r="F54" s="930">
        <f>+landbouw!E12</f>
        <v>0.16920018088035663</v>
      </c>
      <c r="G54" s="930">
        <f>+landbouw!F12</f>
        <v>82.75371633804005</v>
      </c>
      <c r="H54" s="930">
        <f>+landbouw!G12</f>
        <v>0</v>
      </c>
      <c r="I54" s="930">
        <f>+landbouw!H12</f>
        <v>0</v>
      </c>
      <c r="J54" s="930">
        <f>+landbouw!I12</f>
        <v>0</v>
      </c>
      <c r="K54" s="930">
        <f>+landbouw!J12</f>
        <v>2.9631595887465121</v>
      </c>
      <c r="L54" s="930">
        <f>+landbouw!K12</f>
        <v>0</v>
      </c>
      <c r="M54" s="930">
        <f>+landbouw!L12</f>
        <v>0</v>
      </c>
      <c r="N54" s="930">
        <f>+landbouw!M12</f>
        <v>0</v>
      </c>
      <c r="O54" s="930">
        <f>+landbouw!N12</f>
        <v>0</v>
      </c>
      <c r="P54" s="930">
        <f>+landbouw!O12</f>
        <v>0</v>
      </c>
      <c r="Q54" s="931">
        <f>+landbouw!P12</f>
        <v>0</v>
      </c>
      <c r="R54" s="667">
        <f ca="1">SUM(C54:Q54)</f>
        <v>136.76947103935532</v>
      </c>
    </row>
    <row r="55" spans="1:18" ht="15" thickBot="1">
      <c r="A55" s="765" t="s">
        <v>864</v>
      </c>
      <c r="B55" s="775"/>
      <c r="C55" s="930">
        <f ca="1">C25*'EF ele_warmte'!B12</f>
        <v>103.37242827635745</v>
      </c>
      <c r="D55" s="930"/>
      <c r="E55" s="930">
        <f>E25*EF_CO2_aardgas</f>
        <v>314.26115385081238</v>
      </c>
      <c r="F55" s="930"/>
      <c r="G55" s="930"/>
      <c r="H55" s="930"/>
      <c r="I55" s="930"/>
      <c r="J55" s="930"/>
      <c r="K55" s="930"/>
      <c r="L55" s="930"/>
      <c r="M55" s="930"/>
      <c r="N55" s="930"/>
      <c r="O55" s="930"/>
      <c r="P55" s="930"/>
      <c r="Q55" s="931"/>
      <c r="R55" s="667">
        <f ca="1">SUM(C55:Q55)</f>
        <v>417.6335821271698</v>
      </c>
    </row>
    <row r="56" spans="1:18" ht="15.75" thickBot="1">
      <c r="A56" s="763" t="s">
        <v>865</v>
      </c>
      <c r="B56" s="776"/>
      <c r="C56" s="668">
        <f ca="1">SUM(C54:C55)</f>
        <v>121.03094213001273</v>
      </c>
      <c r="D56" s="668">
        <f t="shared" ref="D56:Q56" ca="1" si="7">SUM(D54:D55)</f>
        <v>0</v>
      </c>
      <c r="E56" s="668">
        <f t="shared" si="7"/>
        <v>347.48603492884547</v>
      </c>
      <c r="F56" s="668">
        <f t="shared" si="7"/>
        <v>0.16920018088035663</v>
      </c>
      <c r="G56" s="668">
        <f t="shared" si="7"/>
        <v>82.75371633804005</v>
      </c>
      <c r="H56" s="668">
        <f t="shared" si="7"/>
        <v>0</v>
      </c>
      <c r="I56" s="668">
        <f t="shared" si="7"/>
        <v>0</v>
      </c>
      <c r="J56" s="668">
        <f t="shared" si="7"/>
        <v>0</v>
      </c>
      <c r="K56" s="668">
        <f t="shared" si="7"/>
        <v>2.9631595887465121</v>
      </c>
      <c r="L56" s="668">
        <f t="shared" si="7"/>
        <v>0</v>
      </c>
      <c r="M56" s="668">
        <f t="shared" si="7"/>
        <v>0</v>
      </c>
      <c r="N56" s="668">
        <f t="shared" si="7"/>
        <v>0</v>
      </c>
      <c r="O56" s="668">
        <f t="shared" si="7"/>
        <v>0</v>
      </c>
      <c r="P56" s="668">
        <f t="shared" si="7"/>
        <v>0</v>
      </c>
      <c r="Q56" s="669">
        <f t="shared" si="7"/>
        <v>0</v>
      </c>
      <c r="R56" s="670">
        <f ca="1">SUM(R54:R55)</f>
        <v>554.40305316652507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6072.9232221481807</v>
      </c>
      <c r="D61" s="676">
        <f t="shared" ref="D61:Q61" ca="1" si="8">D46+D52+D56</f>
        <v>0</v>
      </c>
      <c r="E61" s="676">
        <f t="shared" ca="1" si="8"/>
        <v>13797.481996995659</v>
      </c>
      <c r="F61" s="676">
        <f t="shared" si="8"/>
        <v>149.14239470590286</v>
      </c>
      <c r="G61" s="676">
        <f t="shared" ca="1" si="8"/>
        <v>3560.3699594420987</v>
      </c>
      <c r="H61" s="676">
        <f t="shared" si="8"/>
        <v>1872.4210053794607</v>
      </c>
      <c r="I61" s="676">
        <f t="shared" si="8"/>
        <v>317.90814999372589</v>
      </c>
      <c r="J61" s="676">
        <f t="shared" si="8"/>
        <v>0</v>
      </c>
      <c r="K61" s="676">
        <f t="shared" si="8"/>
        <v>91.753463927901365</v>
      </c>
      <c r="L61" s="676">
        <f t="shared" si="8"/>
        <v>0</v>
      </c>
      <c r="M61" s="676">
        <f t="shared" ca="1" si="8"/>
        <v>0</v>
      </c>
      <c r="N61" s="676">
        <f t="shared" si="8"/>
        <v>0</v>
      </c>
      <c r="O61" s="676">
        <f t="shared" ca="1" si="8"/>
        <v>0</v>
      </c>
      <c r="P61" s="676">
        <f t="shared" si="8"/>
        <v>0</v>
      </c>
      <c r="Q61" s="676">
        <f t="shared" si="8"/>
        <v>0</v>
      </c>
      <c r="R61" s="676">
        <f ca="1">R46+R52+R56</f>
        <v>25862.000192592932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0.21348390266311856</v>
      </c>
      <c r="D63" s="720">
        <f t="shared" ca="1" si="9"/>
        <v>0</v>
      </c>
      <c r="E63" s="932">
        <f t="shared" ca="1" si="9"/>
        <v>0.20200000000000001</v>
      </c>
      <c r="F63" s="720">
        <f t="shared" si="9"/>
        <v>0.22700000000000006</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967.45946793282724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967.45946793282724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15907.476344751301</v>
      </c>
      <c r="C4" s="445">
        <f>huishoudens!C8</f>
        <v>0</v>
      </c>
      <c r="D4" s="445">
        <f>huishoudens!D8</f>
        <v>43465.902746890155</v>
      </c>
      <c r="E4" s="445">
        <f>huishoudens!E8</f>
        <v>318.69159219691034</v>
      </c>
      <c r="F4" s="445">
        <f>huishoudens!F8</f>
        <v>10878.344895663538</v>
      </c>
      <c r="G4" s="445">
        <f>huishoudens!G8</f>
        <v>0</v>
      </c>
      <c r="H4" s="445">
        <f>huishoudens!H8</f>
        <v>0</v>
      </c>
      <c r="I4" s="445">
        <f>huishoudens!I8</f>
        <v>0</v>
      </c>
      <c r="J4" s="445">
        <f>huishoudens!J8</f>
        <v>244.95274732195685</v>
      </c>
      <c r="K4" s="445">
        <f>huishoudens!K8</f>
        <v>0</v>
      </c>
      <c r="L4" s="445">
        <f>huishoudens!L8</f>
        <v>0</v>
      </c>
      <c r="M4" s="445">
        <f>huishoudens!M8</f>
        <v>0</v>
      </c>
      <c r="N4" s="445">
        <f>huishoudens!N8</f>
        <v>3660.1124407975999</v>
      </c>
      <c r="O4" s="445">
        <f>huishoudens!O8</f>
        <v>39.083333333333336</v>
      </c>
      <c r="P4" s="446">
        <f>huishoudens!P8</f>
        <v>95.333333333333343</v>
      </c>
      <c r="Q4" s="447">
        <f>SUM(B4:P4)</f>
        <v>74609.897434288127</v>
      </c>
    </row>
    <row r="5" spans="1:17">
      <c r="A5" s="444" t="s">
        <v>149</v>
      </c>
      <c r="B5" s="445">
        <f ca="1">tertiair!B16</f>
        <v>10063.007392304891</v>
      </c>
      <c r="C5" s="445">
        <f ca="1">tertiair!C16</f>
        <v>0</v>
      </c>
      <c r="D5" s="445">
        <f ca="1">tertiair!D16</f>
        <v>22245.062076236165</v>
      </c>
      <c r="E5" s="445">
        <f>tertiair!E16</f>
        <v>285.00330735496004</v>
      </c>
      <c r="F5" s="445">
        <f ca="1">tertiair!F16</f>
        <v>1681.7175949071604</v>
      </c>
      <c r="G5" s="445">
        <f>tertiair!G16</f>
        <v>0</v>
      </c>
      <c r="H5" s="445">
        <f>tertiair!H16</f>
        <v>0</v>
      </c>
      <c r="I5" s="445">
        <f>tertiair!I16</f>
        <v>0</v>
      </c>
      <c r="J5" s="445">
        <f>tertiair!J16</f>
        <v>0</v>
      </c>
      <c r="K5" s="445">
        <f>tertiair!K16</f>
        <v>0</v>
      </c>
      <c r="L5" s="445">
        <f ca="1">tertiair!L16</f>
        <v>0</v>
      </c>
      <c r="M5" s="445">
        <f>tertiair!M16</f>
        <v>0</v>
      </c>
      <c r="N5" s="445">
        <f ca="1">tertiair!N16</f>
        <v>187.41503087472864</v>
      </c>
      <c r="O5" s="445">
        <f>tertiair!O16</f>
        <v>0</v>
      </c>
      <c r="P5" s="446">
        <f>tertiair!P16</f>
        <v>0</v>
      </c>
      <c r="Q5" s="444">
        <f t="shared" ref="Q5:Q14" ca="1" si="0">SUM(B5:P5)</f>
        <v>34462.2054016779</v>
      </c>
    </row>
    <row r="6" spans="1:17">
      <c r="A6" s="444" t="s">
        <v>187</v>
      </c>
      <c r="B6" s="445">
        <f>'openbare verlichting'!B8</f>
        <v>615.80700000000002</v>
      </c>
      <c r="C6" s="445"/>
      <c r="D6" s="445"/>
      <c r="E6" s="445"/>
      <c r="F6" s="445"/>
      <c r="G6" s="445"/>
      <c r="H6" s="445"/>
      <c r="I6" s="445"/>
      <c r="J6" s="445"/>
      <c r="K6" s="445"/>
      <c r="L6" s="445"/>
      <c r="M6" s="445"/>
      <c r="N6" s="445"/>
      <c r="O6" s="445"/>
      <c r="P6" s="446"/>
      <c r="Q6" s="444">
        <f t="shared" si="0"/>
        <v>615.80700000000002</v>
      </c>
    </row>
    <row r="7" spans="1:17">
      <c r="A7" s="444" t="s">
        <v>105</v>
      </c>
      <c r="B7" s="445">
        <f>landbouw!B8</f>
        <v>82.715903322793991</v>
      </c>
      <c r="C7" s="445">
        <f>landbouw!C8</f>
        <v>0</v>
      </c>
      <c r="D7" s="445">
        <f>landbouw!D8</f>
        <v>164.4796092971936</v>
      </c>
      <c r="E7" s="445">
        <f>landbouw!E8</f>
        <v>0.74537524616897188</v>
      </c>
      <c r="F7" s="445">
        <f>landbouw!F8</f>
        <v>309.93901250202265</v>
      </c>
      <c r="G7" s="445">
        <f>landbouw!G8</f>
        <v>0</v>
      </c>
      <c r="H7" s="445">
        <f>landbouw!H8</f>
        <v>0</v>
      </c>
      <c r="I7" s="445">
        <f>landbouw!I8</f>
        <v>0</v>
      </c>
      <c r="J7" s="445">
        <f>landbouw!J8</f>
        <v>8.3705073128432552</v>
      </c>
      <c r="K7" s="445">
        <f>landbouw!K8</f>
        <v>0</v>
      </c>
      <c r="L7" s="445">
        <f>landbouw!L8</f>
        <v>0</v>
      </c>
      <c r="M7" s="445">
        <f>landbouw!M8</f>
        <v>0</v>
      </c>
      <c r="N7" s="445">
        <f>landbouw!N8</f>
        <v>0</v>
      </c>
      <c r="O7" s="445">
        <f>landbouw!O8</f>
        <v>0</v>
      </c>
      <c r="P7" s="446">
        <f>landbouw!P8</f>
        <v>0</v>
      </c>
      <c r="Q7" s="444">
        <f t="shared" si="0"/>
        <v>566.25040768102258</v>
      </c>
    </row>
    <row r="8" spans="1:17">
      <c r="A8" s="444" t="s">
        <v>613</v>
      </c>
      <c r="B8" s="445">
        <f>industrie!B18</f>
        <v>1290.831974930489</v>
      </c>
      <c r="C8" s="445">
        <f>industrie!C18</f>
        <v>0</v>
      </c>
      <c r="D8" s="445">
        <f>industrie!D18</f>
        <v>872.80520843146189</v>
      </c>
      <c r="E8" s="445">
        <f>industrie!E18</f>
        <v>14.503293439944088</v>
      </c>
      <c r="F8" s="445">
        <f>industrie!F18</f>
        <v>464.71744614862098</v>
      </c>
      <c r="G8" s="445">
        <f>industrie!G18</f>
        <v>0</v>
      </c>
      <c r="H8" s="445">
        <f>industrie!H18</f>
        <v>0</v>
      </c>
      <c r="I8" s="445">
        <f>industrie!I18</f>
        <v>0</v>
      </c>
      <c r="J8" s="445">
        <f>industrie!J18</f>
        <v>5.8673214327178931</v>
      </c>
      <c r="K8" s="445">
        <f>industrie!K18</f>
        <v>0</v>
      </c>
      <c r="L8" s="445">
        <f>industrie!L18</f>
        <v>0</v>
      </c>
      <c r="M8" s="445">
        <f>industrie!M18</f>
        <v>0</v>
      </c>
      <c r="N8" s="445">
        <f>industrie!N18</f>
        <v>43.217579555151104</v>
      </c>
      <c r="O8" s="445">
        <f>industrie!O18</f>
        <v>0</v>
      </c>
      <c r="P8" s="446">
        <f>industrie!P18</f>
        <v>0</v>
      </c>
      <c r="Q8" s="444">
        <f t="shared" si="0"/>
        <v>2691.9428239383851</v>
      </c>
    </row>
    <row r="9" spans="1:17" s="450" customFormat="1">
      <c r="A9" s="448" t="s">
        <v>555</v>
      </c>
      <c r="B9" s="449">
        <f>transport!B14</f>
        <v>0.115762834216905</v>
      </c>
      <c r="C9" s="449">
        <f>transport!C14</f>
        <v>0</v>
      </c>
      <c r="D9" s="449">
        <f>transport!D14</f>
        <v>0.3683945155481933</v>
      </c>
      <c r="E9" s="449">
        <f>transport!E14</f>
        <v>38.071386413570956</v>
      </c>
      <c r="F9" s="449">
        <f>transport!F14</f>
        <v>0</v>
      </c>
      <c r="G9" s="449">
        <f>transport!G14</f>
        <v>6453.2839921611721</v>
      </c>
      <c r="H9" s="449">
        <f>transport!H14</f>
        <v>1276.7395582077345</v>
      </c>
      <c r="I9" s="449">
        <f>transport!I14</f>
        <v>0</v>
      </c>
      <c r="J9" s="449">
        <f>transport!J14</f>
        <v>0</v>
      </c>
      <c r="K9" s="449">
        <f>transport!K14</f>
        <v>0</v>
      </c>
      <c r="L9" s="449">
        <f>transport!L14</f>
        <v>0</v>
      </c>
      <c r="M9" s="449">
        <f>transport!M14</f>
        <v>336.76418799523498</v>
      </c>
      <c r="N9" s="449">
        <f>transport!N14</f>
        <v>0</v>
      </c>
      <c r="O9" s="449">
        <f>transport!O14</f>
        <v>0</v>
      </c>
      <c r="P9" s="449">
        <f>transport!P14</f>
        <v>0</v>
      </c>
      <c r="Q9" s="448">
        <f>SUM(B9:P9)</f>
        <v>8105.3432821274773</v>
      </c>
    </row>
    <row r="10" spans="1:17">
      <c r="A10" s="444" t="s">
        <v>545</v>
      </c>
      <c r="B10" s="445">
        <f>transport!B54</f>
        <v>2.579187170974341</v>
      </c>
      <c r="C10" s="445">
        <f>transport!C54</f>
        <v>0</v>
      </c>
      <c r="D10" s="445">
        <f>transport!D54</f>
        <v>0</v>
      </c>
      <c r="E10" s="445">
        <f>transport!E54</f>
        <v>0</v>
      </c>
      <c r="F10" s="445">
        <f>transport!F54</f>
        <v>0</v>
      </c>
      <c r="G10" s="445">
        <f>transport!G54</f>
        <v>559.52876206901749</v>
      </c>
      <c r="H10" s="445">
        <f>transport!H54</f>
        <v>0</v>
      </c>
      <c r="I10" s="445">
        <f>transport!I54</f>
        <v>0</v>
      </c>
      <c r="J10" s="445">
        <f>transport!J54</f>
        <v>0</v>
      </c>
      <c r="K10" s="445">
        <f>transport!K54</f>
        <v>0</v>
      </c>
      <c r="L10" s="445">
        <f>transport!L54</f>
        <v>0</v>
      </c>
      <c r="M10" s="445">
        <f>transport!M54</f>
        <v>23.956872302482044</v>
      </c>
      <c r="N10" s="445">
        <f>transport!N54</f>
        <v>0</v>
      </c>
      <c r="O10" s="445">
        <f>transport!O54</f>
        <v>0</v>
      </c>
      <c r="P10" s="446">
        <f>transport!P54</f>
        <v>0</v>
      </c>
      <c r="Q10" s="444">
        <f t="shared" si="0"/>
        <v>586.06482154247385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484.21650057372699</v>
      </c>
      <c r="C14" s="452"/>
      <c r="D14" s="452">
        <f>'SEAP template'!E25</f>
        <v>1555.74828639016</v>
      </c>
      <c r="E14" s="452"/>
      <c r="F14" s="452"/>
      <c r="G14" s="452"/>
      <c r="H14" s="452"/>
      <c r="I14" s="452"/>
      <c r="J14" s="452"/>
      <c r="K14" s="452"/>
      <c r="L14" s="452"/>
      <c r="M14" s="452"/>
      <c r="N14" s="452"/>
      <c r="O14" s="452"/>
      <c r="P14" s="453"/>
      <c r="Q14" s="444">
        <f t="shared" si="0"/>
        <v>2039.964786963887</v>
      </c>
    </row>
    <row r="15" spans="1:17" s="457" customFormat="1">
      <c r="A15" s="454" t="s">
        <v>549</v>
      </c>
      <c r="B15" s="455">
        <f ca="1">SUM(B4:B14)</f>
        <v>28446.750065888395</v>
      </c>
      <c r="C15" s="455">
        <f t="shared" ref="C15:Q15" ca="1" si="1">SUM(C4:C14)</f>
        <v>0</v>
      </c>
      <c r="D15" s="455">
        <f t="shared" ca="1" si="1"/>
        <v>68304.366321760681</v>
      </c>
      <c r="E15" s="455">
        <f t="shared" si="1"/>
        <v>657.01495465155426</v>
      </c>
      <c r="F15" s="455">
        <f t="shared" ca="1" si="1"/>
        <v>13334.718949221342</v>
      </c>
      <c r="G15" s="455">
        <f t="shared" si="1"/>
        <v>7012.81275423019</v>
      </c>
      <c r="H15" s="455">
        <f t="shared" si="1"/>
        <v>1276.7395582077345</v>
      </c>
      <c r="I15" s="455">
        <f t="shared" si="1"/>
        <v>0</v>
      </c>
      <c r="J15" s="455">
        <f t="shared" si="1"/>
        <v>259.19057606751801</v>
      </c>
      <c r="K15" s="455">
        <f t="shared" si="1"/>
        <v>0</v>
      </c>
      <c r="L15" s="455">
        <f t="shared" ca="1" si="1"/>
        <v>0</v>
      </c>
      <c r="M15" s="455">
        <f t="shared" si="1"/>
        <v>360.72106029771703</v>
      </c>
      <c r="N15" s="455">
        <f t="shared" ca="1" si="1"/>
        <v>3890.7450512274795</v>
      </c>
      <c r="O15" s="455">
        <f t="shared" si="1"/>
        <v>39.083333333333336</v>
      </c>
      <c r="P15" s="455">
        <f t="shared" si="1"/>
        <v>95.333333333333343</v>
      </c>
      <c r="Q15" s="455">
        <f t="shared" ca="1" si="1"/>
        <v>123677.47595821928</v>
      </c>
    </row>
    <row r="17" spans="1:17">
      <c r="A17" s="458" t="s">
        <v>550</v>
      </c>
      <c r="B17" s="725">
        <f ca="1">huishoudens!B10</f>
        <v>0.21348390266311862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3395.9901315987486</v>
      </c>
      <c r="C22" s="445">
        <f t="shared" ref="C22:C32" ca="1" si="3">C4*$C$17</f>
        <v>0</v>
      </c>
      <c r="D22" s="445">
        <f t="shared" ref="D22:D32" si="4">D4*$D$17</f>
        <v>8780.1123548718115</v>
      </c>
      <c r="E22" s="445">
        <f t="shared" ref="E22:E32" si="5">E4*$E$17</f>
        <v>72.342991428698653</v>
      </c>
      <c r="F22" s="445">
        <f t="shared" ref="F22:F32" si="6">F4*$F$17</f>
        <v>2904.5180871421649</v>
      </c>
      <c r="G22" s="445">
        <f t="shared" ref="G22:G32" si="7">G4*$G$17</f>
        <v>0</v>
      </c>
      <c r="H22" s="445">
        <f t="shared" ref="H22:H32" si="8">H4*$H$17</f>
        <v>0</v>
      </c>
      <c r="I22" s="445">
        <f t="shared" ref="I22:I32" si="9">I4*$I$17</f>
        <v>0</v>
      </c>
      <c r="J22" s="445">
        <f t="shared" ref="J22:J32" si="10">J4*$J$17</f>
        <v>86.713272551972722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15239.676837593397</v>
      </c>
    </row>
    <row r="23" spans="1:17">
      <c r="A23" s="444" t="s">
        <v>149</v>
      </c>
      <c r="B23" s="445">
        <f t="shared" ca="1" si="2"/>
        <v>2148.2900906370605</v>
      </c>
      <c r="C23" s="445">
        <f t="shared" ca="1" si="3"/>
        <v>0</v>
      </c>
      <c r="D23" s="445">
        <f t="shared" ca="1" si="4"/>
        <v>4493.5025393997057</v>
      </c>
      <c r="E23" s="445">
        <f t="shared" si="5"/>
        <v>64.695750769575938</v>
      </c>
      <c r="F23" s="445">
        <f t="shared" ca="1" si="6"/>
        <v>449.01859784021184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7155.5069786465538</v>
      </c>
    </row>
    <row r="24" spans="1:17">
      <c r="A24" s="444" t="s">
        <v>187</v>
      </c>
      <c r="B24" s="445">
        <f t="shared" ca="1" si="2"/>
        <v>131.46488164726708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131.46488164726708</v>
      </c>
    </row>
    <row r="25" spans="1:17">
      <c r="A25" s="444" t="s">
        <v>105</v>
      </c>
      <c r="B25" s="445">
        <f t="shared" ca="1" si="2"/>
        <v>17.658513853655283</v>
      </c>
      <c r="C25" s="445">
        <f t="shared" ca="1" si="3"/>
        <v>0</v>
      </c>
      <c r="D25" s="445">
        <f t="shared" si="4"/>
        <v>33.224881078033107</v>
      </c>
      <c r="E25" s="445">
        <f t="shared" si="5"/>
        <v>0.16920018088035663</v>
      </c>
      <c r="F25" s="445">
        <f t="shared" si="6"/>
        <v>82.75371633804005</v>
      </c>
      <c r="G25" s="445">
        <f t="shared" si="7"/>
        <v>0</v>
      </c>
      <c r="H25" s="445">
        <f t="shared" si="8"/>
        <v>0</v>
      </c>
      <c r="I25" s="445">
        <f t="shared" si="9"/>
        <v>0</v>
      </c>
      <c r="J25" s="445">
        <f t="shared" si="10"/>
        <v>2.9631595887465121</v>
      </c>
      <c r="K25" s="445">
        <f t="shared" si="11"/>
        <v>0</v>
      </c>
      <c r="L25" s="445">
        <f t="shared" si="12"/>
        <v>0</v>
      </c>
      <c r="M25" s="445">
        <f t="shared" si="13"/>
        <v>0</v>
      </c>
      <c r="N25" s="445">
        <f t="shared" si="14"/>
        <v>0</v>
      </c>
      <c r="O25" s="445">
        <f t="shared" si="15"/>
        <v>0</v>
      </c>
      <c r="P25" s="446">
        <f t="shared" si="16"/>
        <v>0</v>
      </c>
      <c r="Q25" s="444">
        <f t="shared" ca="1" si="17"/>
        <v>136.76947103935532</v>
      </c>
    </row>
    <row r="26" spans="1:17">
      <c r="A26" s="444" t="s">
        <v>613</v>
      </c>
      <c r="B26" s="445">
        <f t="shared" ca="1" si="2"/>
        <v>275.57184769050167</v>
      </c>
      <c r="C26" s="445">
        <f t="shared" ca="1" si="3"/>
        <v>0</v>
      </c>
      <c r="D26" s="445">
        <f t="shared" si="4"/>
        <v>176.3066521031553</v>
      </c>
      <c r="E26" s="445">
        <f t="shared" si="5"/>
        <v>3.292247610867308</v>
      </c>
      <c r="F26" s="445">
        <f t="shared" si="6"/>
        <v>124.07955812168181</v>
      </c>
      <c r="G26" s="445">
        <f t="shared" si="7"/>
        <v>0</v>
      </c>
      <c r="H26" s="445">
        <f t="shared" si="8"/>
        <v>0</v>
      </c>
      <c r="I26" s="445">
        <f t="shared" si="9"/>
        <v>0</v>
      </c>
      <c r="J26" s="445">
        <f t="shared" si="10"/>
        <v>2.077031787182134</v>
      </c>
      <c r="K26" s="445">
        <f t="shared" si="11"/>
        <v>0</v>
      </c>
      <c r="L26" s="445">
        <f t="shared" si="12"/>
        <v>0</v>
      </c>
      <c r="M26" s="445">
        <f t="shared" si="13"/>
        <v>0</v>
      </c>
      <c r="N26" s="445">
        <f t="shared" si="14"/>
        <v>0</v>
      </c>
      <c r="O26" s="445">
        <f t="shared" si="15"/>
        <v>0</v>
      </c>
      <c r="P26" s="446">
        <f t="shared" si="16"/>
        <v>0</v>
      </c>
      <c r="Q26" s="444">
        <f t="shared" ca="1" si="17"/>
        <v>581.32733731338817</v>
      </c>
    </row>
    <row r="27" spans="1:17" s="450" customFormat="1">
      <c r="A27" s="448" t="s">
        <v>555</v>
      </c>
      <c r="B27" s="719">
        <f t="shared" ca="1" si="2"/>
        <v>2.4713501631968487E-2</v>
      </c>
      <c r="C27" s="449">
        <f t="shared" ca="1" si="3"/>
        <v>0</v>
      </c>
      <c r="D27" s="449">
        <f t="shared" si="4"/>
        <v>7.4415692140735054E-2</v>
      </c>
      <c r="E27" s="449">
        <f t="shared" si="5"/>
        <v>8.6422047158806077</v>
      </c>
      <c r="F27" s="449">
        <f t="shared" si="6"/>
        <v>0</v>
      </c>
      <c r="G27" s="449">
        <f t="shared" si="7"/>
        <v>1723.0268259070331</v>
      </c>
      <c r="H27" s="449">
        <f t="shared" si="8"/>
        <v>317.90814999372589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2049.6763098104125</v>
      </c>
    </row>
    <row r="28" spans="1:17">
      <c r="A28" s="444" t="s">
        <v>545</v>
      </c>
      <c r="B28" s="445">
        <f t="shared" ca="1" si="2"/>
        <v>0.55061494295825053</v>
      </c>
      <c r="C28" s="445">
        <f t="shared" ca="1" si="3"/>
        <v>0</v>
      </c>
      <c r="D28" s="445">
        <f t="shared" si="4"/>
        <v>0</v>
      </c>
      <c r="E28" s="445">
        <f t="shared" si="5"/>
        <v>0</v>
      </c>
      <c r="F28" s="445">
        <f t="shared" si="6"/>
        <v>0</v>
      </c>
      <c r="G28" s="445">
        <f t="shared" si="7"/>
        <v>149.39417947242768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149.94479441538593</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103.37242827635745</v>
      </c>
      <c r="C32" s="445">
        <f t="shared" ca="1" si="3"/>
        <v>0</v>
      </c>
      <c r="D32" s="445">
        <f t="shared" si="4"/>
        <v>314.26115385081238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417.6335821271698</v>
      </c>
    </row>
    <row r="33" spans="1:17" s="457" customFormat="1">
      <c r="A33" s="454" t="s">
        <v>549</v>
      </c>
      <c r="B33" s="455">
        <f ca="1">SUM(B22:B32)</f>
        <v>6072.9232221481816</v>
      </c>
      <c r="C33" s="455">
        <f t="shared" ref="C33:Q33" ca="1" si="19">SUM(C22:C32)</f>
        <v>0</v>
      </c>
      <c r="D33" s="455">
        <f t="shared" ca="1" si="19"/>
        <v>13797.481996995659</v>
      </c>
      <c r="E33" s="455">
        <f t="shared" si="19"/>
        <v>149.14239470590286</v>
      </c>
      <c r="F33" s="455">
        <f t="shared" ca="1" si="19"/>
        <v>3560.3699594420987</v>
      </c>
      <c r="G33" s="455">
        <f t="shared" si="19"/>
        <v>1872.4210053794607</v>
      </c>
      <c r="H33" s="455">
        <f t="shared" si="19"/>
        <v>317.90814999372589</v>
      </c>
      <c r="I33" s="455">
        <f t="shared" si="19"/>
        <v>0</v>
      </c>
      <c r="J33" s="455">
        <f t="shared" si="19"/>
        <v>91.753463927901365</v>
      </c>
      <c r="K33" s="455">
        <f t="shared" si="19"/>
        <v>0</v>
      </c>
      <c r="L33" s="455">
        <f t="shared" ca="1" si="19"/>
        <v>0</v>
      </c>
      <c r="M33" s="455">
        <f t="shared" si="19"/>
        <v>0</v>
      </c>
      <c r="N33" s="455">
        <f t="shared" ca="1" si="19"/>
        <v>0</v>
      </c>
      <c r="O33" s="455">
        <f t="shared" si="19"/>
        <v>0</v>
      </c>
      <c r="P33" s="455">
        <f t="shared" si="19"/>
        <v>0</v>
      </c>
      <c r="Q33" s="455">
        <f t="shared" ca="1" si="19"/>
        <v>25862.000192592932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967.45946793282724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967.45946793282724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0.21348390266311862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0.21348390266311862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2022-07-26T12:43:09Z</dcterms:modified>
</cp:coreProperties>
</file>