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87EDB406-9824-4B54-8D45-150DBF15303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<sst xmlns="http://schemas.openxmlformats.org/spreadsheetml/2006/main" count="2513" uniqueCount="962">
  <si>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</si>
  <si>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</si>
  <si>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</si>
  <si>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</si>
  <si>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</si>
  <si>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</si>
  <si>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</si>
  <si>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</si>
  <si>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</si>
  <si>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</si>
  <si>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</si>
  <si>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</si>
  <si>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</si>
  <si>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</si>
  <si>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</si>
  <si>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</si>
  <si>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</si>
  <si>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</si>
  <si>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</si>
  <si>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</si>
  <si>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</si>
  <si>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</si>
  <si>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</si>
  <si>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</si>
  <si>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</si>
  <si>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</si>
  <si>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</si>
  <si>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</si>
  <si>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</si>
  <si>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</si>
  <si>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</si>
  <si>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</si>
  <si>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</si>
  <si>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</si>
  <si>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</si>
  <si>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</si>
  <si>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</si>
  <si>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</si>
  <si>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</si>
  <si>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</si>
  <si>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</si>
  <si>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</si>
  <si>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</si>
  <si>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</si>
  <si>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</si>
  <si>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</si>
  <si>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</si>
  <si>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</si>
  <si>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</si>
  <si>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</si>
  <si>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</si>
  <si>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</si>
  <si>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</si>
  <si>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</si>
  <si>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</si>
  <si>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</si>
  <si>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</si>
  <si>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</si>
  <si>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</si>
  <si>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</si>
  <si>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</si>
  <si>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</si>
  <si>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</si>
  <si>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</si>
  <si>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</si>
  <si>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</si>
  <si>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</si>
  <si>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</si>
  <si>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</si>
  <si>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</si>
  <si>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</si>
  <si>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</si>
  <si>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</si>
  <si>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</si>
  <si>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</si>
  <si>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</si>
  <si>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</si>
  <si>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</si>
  <si>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</si>
  <si>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</si>
  <si>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</si>
  <si>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</si>
  <si>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</si>
  <si>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</si>
  <si>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</si>
  <si>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</si>
  <si>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</si>
  <si>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</si>
  <si>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</si>
  <si>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</si>
  <si>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</si>
  <si>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</si>
  <si>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</si>
  <si>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</si>
  <si>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</si>
  <si>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</si>
  <si>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</si>
  <si>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</si>
  <si>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</si>
  <si>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</si>
  <si>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</si>
  <si>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</si>
  <si>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</si>
  <si>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</si>
  <si>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</si>
  <si>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</si>
  <si>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</si>
  <si>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</si>
  <si>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</si>
  <si>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</si>
  <si>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</si>
  <si>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</si>
  <si>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</si>
  <si>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</si>
  <si>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</si>
  <si>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</si>
  <si>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</si>
  <si>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</si>
  <si>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</si>
  <si>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</si>
  <si>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</si>
  <si>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</si>
  <si>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</si>
  <si>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</si>
  <si>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</si>
  <si>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</si>
  <si>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</si>
  <si>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</si>
  <si>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</si>
  <si>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</si>
  <si>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</si>
  <si>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</si>
  <si>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</si>
  <si>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</si>
  <si>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</si>
  <si>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</si>
  <si>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</si>
  <si>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</si>
  <si>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</si>
  <si>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</si>
  <si>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</si>
  <si>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</si>
  <si>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</si>
  <si>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</si>
  <si>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</si>
  <si>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</si>
  <si>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</si>
  <si>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</si>
  <si>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</si>
  <si>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</si>
  <si>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</si>
  <si>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</si>
  <si>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</si>
  <si>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</si>
  <si>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</si>
  <si>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</si>
  <si>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</si>
  <si>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</si>
  <si>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</si>
  <si>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</si>
  <si>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</si>
  <si>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</si>
  <si>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</si>
  <si>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</si>
  <si>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</si>
  <si>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</si>
  <si>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</si>
  <si>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</si>
  <si>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</si>
  <si>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</si>
  <si>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</si>
  <si>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</si>
  <si>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</si>
  <si>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</si>
  <si>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</si>
  <si>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</si>
  <si>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</si>
  <si>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</si>
  <si>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</si>
  <si>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</si>
  <si>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</si>
  <si>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</si>
  <si>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</si>
  <si>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</si>
  <si>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</si>
  <si>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</si>
  <si>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</si>
  <si>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</si>
  <si>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</si>
  <si>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</si>
  <si>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</si>
  <si>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</si>
  <si>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</si>
  <si>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</si>
  <si>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</si>
  <si>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</si>
  <si>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</si>
  <si>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</si>
  <si>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</si>
  <si>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</si>
  <si>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</si>
  <si>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</si>
  <si>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</si>
  <si>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</si>
  <si>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</si>
  <si>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</si>
  <si>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</si>
  <si>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</si>
  <si>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</si>
  <si>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</si>
  <si>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</si>
  <si>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</si>
  <si>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</si>
  <si>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</si>
  <si>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</si>
  <si>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</si>
  <si>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</si>
  <si>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</si>
  <si>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</si>
  <si>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</si>
  <si>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</si>
  <si>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</si>
  <si>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</si>
  <si>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</si>
  <si>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</si>
  <si>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</si>
  <si>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</si>
  <si>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</si>
  <si>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</si>
  <si>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</si>
  <si>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</si>
  <si>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</si>
  <si>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</si>
  <si>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</si>
  <si>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</si>
  <si>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</si>
  <si>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</si>
  <si>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</si>
  <si>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</si>
  <si>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</si>
  <si>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</si>
  <si>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</si>
  <si>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</si>
  <si>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</si>
  <si>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</si>
  <si>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</si>
  <si>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</si>
  <si>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</si>
  <si>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</si>
  <si>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</si>
  <si>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</si>
  <si>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</si>
  <si>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</si>
  <si>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</si>
  <si>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</si>
  <si>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</si>
  <si>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</si>
  <si>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</si>
  <si>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</si>
  <si>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</si>
  <si>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</si>
  <si>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</si>
  <si>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</si>
  <si>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</si>
  <si>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</si>
  <si>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</si>
  <si>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</si>
  <si>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</si>
  <si>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</si>
  <si>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</si>
  <si>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</si>
  <si>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</si>
  <si>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</si>
  <si>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</si>
  <si>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</si>
  <si>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</si>
  <si>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</si>
  <si>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</si>
  <si>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</si>
  <si>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</si>
  <si>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</si>
  <si>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</si>
  <si>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</si>
  <si>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</si>
  <si>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</si>
  <si>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</si>
  <si>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</si>
  <si>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</si>
  <si>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</si>
  <si>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</si>
  <si>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</si>
  <si>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</si>
  <si>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</si>
  <si>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</si>
  <si>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</si>
  <si>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</si>
  <si>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</si>
  <si>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</si>
  <si>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</si>
  <si>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</si>
  <si>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</si>
  <si>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</si>
  <si>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</si>
  <si>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</si>
  <si>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</si>
  <si>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</si>
  <si>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</si>
  <si>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</si>
  <si>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</si>
  <si>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</si>
  <si>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</si>
  <si>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</si>
  <si>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</si>
  <si>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</si>
  <si>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</si>
  <si>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</si>
  <si>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</si>
  <si>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</si>
  <si>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</si>
  <si>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</si>
  <si>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</si>
  <si>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</si>
  <si>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</si>
  <si>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</si>
  <si>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</si>
  <si>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</si>
  <si>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</si>
  <si>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</si>
  <si>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</si>
  <si>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</si>
  <si>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</si>
  <si>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</si>
  <si>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</si>
  <si>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</si>
  <si>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</si>
  <si>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</si>
  <si>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</si>
  <si>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</si>
  <si>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</si>
  <si>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</si>
  <si>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</si>
  <si>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</si>
  <si>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</si>
  <si>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</si>
  <si>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</si>
  <si>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</si>
  <si>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</si>
  <si>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</si>
  <si>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</si>
  <si>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</si>
  <si>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</si>
  <si>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</si>
  <si>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</si>
  <si>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</si>
  <si>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</si>
  <si>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</si>
  <si>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</si>
  <si>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</si>
  <si>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</si>
  <si>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</si>
  <si>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</si>
  <si>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</si>
  <si>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</si>
  <si>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</si>
  <si>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</si>
  <si>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</si>
  <si>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</si>
  <si>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</si>
  <si>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</si>
  <si>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</si>
  <si>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</si>
  <si>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</si>
  <si>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</si>
  <si>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</si>
  <si>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</si>
  <si>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</si>
  <si>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</si>
  <si>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</si>
  <si>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</si>
  <si>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</si>
  <si>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</si>
  <si>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</si>
  <si>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</si>
  <si>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</si>
  <si>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</si>
  <si>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</si>
  <si>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</si>
  <si>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</si>
  <si>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</si>
  <si>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</si>
  <si>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</si>
  <si>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</si>
  <si>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</si>
  <si>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</si>
  <si>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</si>
  <si>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</si>
  <si>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</si>
  <si>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</si>
  <si>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</si>
  <si>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</si>
  <si>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</si>
  <si>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</si>
  <si>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</si>
  <si>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</si>
  <si>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</si>
  <si>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</si>
  <si>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</si>
  <si>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</si>
  <si>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</si>
  <si>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</si>
  <si>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</si>
  <si>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</si>
  <si>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</si>
  <si>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</si>
  <si>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</si>
  <si>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</si>
  <si>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</si>
  <si>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</si>
  <si>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</si>
  <si>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</si>
  <si>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</si>
  <si>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</si>
  <si>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</si>
  <si>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</si>
  <si>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</si>
  <si>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</si>
  <si>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</si>
  <si>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</si>
  <si>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</si>
  <si>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</si>
  <si>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</si>
  <si>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</si>
  <si>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</si>
  <si>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</si>
  <si>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</si>
  <si>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</si>
  <si>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</si>
  <si>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</si>
  <si>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</si>
  <si>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</si>
  <si>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</si>
  <si>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</si>
  <si>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</si>
  <si>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</si>
  <si>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</si>
  <si>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</si>
  <si>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</si>
  <si>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</si>
  <si>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</si>
  <si>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</si>
  <si>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</si>
  <si>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</si>
  <si>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</si>
  <si>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</si>
  <si>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</si>
  <si>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</si>
  <si>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</si>
  <si>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</si>
  <si>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</si>
  <si>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</si>
  <si>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</si>
  <si>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</si>
  <si>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</si>
  <si>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</si>
  <si>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</si>
  <si>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</si>
  <si>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</si>
  <si>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</si>
  <si>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</si>
  <si>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</si>
  <si>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</si>
  <si>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</si>
  <si>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</si>
  <si>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</si>
  <si>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</si>
  <si>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</si>
  <si>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</si>
  <si>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</si>
  <si>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</si>
  <si>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</si>
  <si>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</si>
  <si>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</si>
  <si>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</si>
  <si>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</si>
  <si>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</si>
  <si>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</si>
  <si>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</si>
  <si>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</si>
  <si>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</si>
  <si>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</si>
  <si>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</si>
  <si>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</si>
  <si>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</si>
  <si>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</si>
  <si>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</si>
  <si>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</si>
  <si>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</si>
  <si>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</si>
  <si>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</si>
  <si>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</si>
  <si>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</si>
  <si>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</si>
  <si>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</si>
  <si>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</si>
  <si>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</si>
  <si>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</si>
  <si>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</si>
  <si>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</si>
  <si>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</si>
  <si>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</si>
  <si>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</si>
  <si>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</si>
  <si>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</si>
  <si>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</si>
  <si>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</si>
  <si>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</si>
  <si>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</si>
  <si>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</si>
  <si>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</si>
  <si>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</si>
  <si>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</si>
  <si>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</si>
  <si>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</si>
  <si>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</si>
  <si>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</si>
  <si>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</si>
  <si>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</si>
  <si>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</si>
  <si>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</si>
  <si>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</si>
  <si>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</si>
  <si>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</si>
  <si>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</si>
  <si>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</si>
  <si>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</si>
  <si>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</si>
  <si>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</si>
  <si>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</si>
  <si>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</si>
  <si>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</si>
  <si>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</si>
  <si>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</si>
  <si>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</si>
  <si>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</si>
  <si>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</si>
  <si>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</si>
  <si>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</si>
  <si>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</si>
  <si>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</si>
  <si>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</si>
  <si>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</si>
  <si>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</si>
  <si>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</si>
  <si>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</si>
  <si>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</si>
  <si>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</si>
  <si>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</si>
  <si>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</si>
  <si>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</si>
  <si>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</si>
  <si>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</si>
  <si>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</si>
  <si>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</si>
  <si>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</si>
  <si>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</si>
  <si>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</si>
  <si>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</si>
  <si>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</si>
  <si>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</si>
  <si>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</si>
  <si>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</si>
  <si>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</si>
  <si>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</si>
  <si>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</si>
  <si>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</si>
  <si>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</si>
  <si>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</si>
  <si>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</si>
  <si>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</si>
  <si>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</si>
  <si>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</si>
  <si>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</si>
  <si>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</si>
  <si>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</si>
  <si>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</si>
  <si>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</si>
  <si>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</si>
  <si>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</si>
  <si>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</si>
  <si>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</si>
  <si>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</si>
  <si>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</si>
  <si>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</si>
  <si>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</si>
  <si>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</si>
  <si>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</si>
  <si>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</si>
  <si>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</si>
  <si>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</si>
  <si>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</si>
  <si>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</si>
  <si>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</si>
  <si>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</si>
  <si>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</si>
  <si>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</si>
  <si>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</si>
  <si>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</si>
  <si>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</si>
  <si>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</si>
  <si>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</si>
  <si>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</si>
  <si>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</si>
  <si>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</si>
  <si>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</si>
  <si>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</si>
  <si>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</si>
  <si>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</si>
  <si>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</si>
  <si>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</si>
  <si>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</si>
  <si>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</si>
  <si>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</si>
  <si>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</si>
  <si>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</si>
  <si>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</si>
  <si>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</si>
  <si>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</si>
  <si>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</si>
  <si>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</si>
  <si>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</si>
  <si>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</si>
  <si>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</si>
  <si>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</si>
  <si>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</si>
  <si>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</si>
  <si>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</si>
  <si>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</si>
  <si>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</si>
  <si>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</si>
  <si>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</si>
  <si>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</si>
  <si>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</si>
  <si>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</si>
  <si>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</si>
  <si>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</si>
  <si>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</si>
  <si>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</si>
  <si>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</si>
  <si>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</si>
  <si>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</si>
  <si>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</si>
  <si>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</si>
  <si>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</si>
  <si>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</si>
  <si>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</si>
  <si>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</si>
  <si>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</si>
  <si>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</si>
  <si>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</si>
  <si>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</si>
  <si>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</si>
  <si>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</si>
  <si>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</si>
  <si>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</si>
  <si>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</si>
  <si>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</si>
  <si>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</si>
  <si>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</si>
  <si>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</si>
  <si>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</si>
  <si>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</si>
  <si>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</si>
  <si>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</si>
  <si>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</si>
  <si>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</si>
  <si>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</si>
  <si>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</si>
  <si>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</si>
  <si>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</si>
  <si>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</si>
  <si>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</si>
  <si>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</si>
  <si>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</si>
  <si>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</si>
  <si>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</si>
  <si>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</si>
  <si>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</si>
  <si>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</si>
  <si>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</si>
  <si>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</si>
  <si>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</si>
  <si>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</si>
  <si>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</si>
  <si>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</si>
  <si>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</si>
  <si>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</si>
  <si>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</si>
  <si>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</si>
  <si>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</si>
  <si>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</si>
  <si>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</si>
  <si>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</si>
  <si>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</si>
  <si>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</si>
  <si>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</si>
  <si>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</si>
  <si>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</si>
  <si>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</si>
  <si>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</si>
  <si>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</si>
  <si>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</si>
  <si>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</si>
  <si>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</si>
  <si>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</si>
  <si>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</si>
  <si>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</si>
  <si>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</si>
  <si>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</si>
  <si>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</si>
  <si>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</si>
  <si>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</si>
  <si>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</si>
  <si>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</si>
  <si>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</si>
  <si>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</si>
  <si>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</si>
  <si>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</si>
  <si>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</si>
  <si>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</si>
  <si>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</si>
  <si>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</si>
  <si>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</si>
  <si>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</si>
  <si>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</si>
  <si>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</si>
  <si>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</si>
  <si>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</si>
  <si>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</si>
  <si>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</si>
  <si>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</si>
  <si>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</si>
  <si>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</si>
  <si>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</si>
  <si>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</si>
  <si>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</si>
  <si>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</si>
  <si>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</si>
  <si>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</si>
  <si>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</si>
  <si>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</si>
  <si>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</si>
  <si>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</si>
  <si>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</si>
  <si>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</si>
  <si>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</si>
  <si>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</si>
  <si>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</si>
  <si>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</si>
  <si>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</si>
  <si>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</si>
  <si>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</si>
  <si>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</si>
  <si>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</si>
  <si>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</si>
  <si>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</si>
  <si>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</si>
  <si>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</si>
  <si>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</si>
  <si>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</si>
  <si>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</si>
  <si>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</si>
  <si>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</si>
  <si>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</si>
  <si>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</si>
  <si>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</si>
  <si>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</si>
  <si>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</si>
  <si>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</si>
  <si>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</si>
  <si>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</si>
  <si>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</si>
  <si>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</si>
  <si>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</si>
  <si>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</si>
  <si>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</si>
  <si>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</si>
  <si>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</si>
  <si>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</si>
  <si>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</si>
  <si>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</si>
  <si>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</si>
  <si>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</si>
  <si>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</si>
  <si>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</si>
  <si>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</si>
  <si>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</si>
  <si>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</si>
  <si>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</si>
  <si>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</si>
  <si>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</si>
  <si>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</si>
  <si>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</si>
  <si>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</si>
  <si>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</si>
  <si>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</si>
  <si>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</si>
  <si>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</si>
  <si>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</si>
  <si>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</si>
  <si>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</si>
  <si>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</si>
  <si>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</si>
  <si>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</si>
  <si>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</si>
  <si>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</si>
  <si>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</si>
  <si>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</si>
  <si>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</si>
  <si>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</si>
  <si>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</si>
  <si>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</si>
  <si>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</si>
  <si>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</si>
  <si>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</si>
  <si>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</si>
  <si>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</si>
  <si>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</si>
  <si>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</si>
  <si>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</si>
  <si>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</si>
  <si>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</si>
  <si>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</si>
  <si>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</si>
  <si>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</si>
  <si>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</si>
  <si>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</si>
  <si>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</si>
  <si>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</si>
  <si>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</si>
  <si>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</si>
  <si>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</si>
  <si>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</si>
  <si>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</si>
  <si>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</si>
  <si>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</si>
  <si>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</si>
  <si>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</si>
  <si>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</si>
  <si>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</si>
  <si>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</si>
  <si>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</si>
  <si>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</si>
  <si>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</si>
  <si>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</si>
  <si>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</si>
  <si>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</si>
  <si>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</si>
  <si>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</si>
  <si>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</si>
  <si>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</si>
  <si>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</si>
  <si>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</si>
  <si>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</si>
  <si>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</si>
  <si>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</si>
  <si>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</si>
  <si>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</si>
  <si>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</si>
  <si>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</si>
  <si>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</si>
  <si>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</si>
  <si>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</si>
  <si>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</si>
  <si>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</si>
  <si>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</si>
  <si>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</si>
  <si>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</si>
  <si>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</si>
  <si>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</si>
  <si>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</si>
  <si>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</si>
  <si>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</si>
  <si>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</si>
  <si>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</si>
  <si>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</si>
  <si>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</si>
  <si>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</si>
  <si>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</si>
  <si>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</si>
  <si>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</si>
  <si>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</si>
  <si>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</si>
  <si>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</si>
  <si>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</si>
  <si>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</si>
  <si>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</si>
  <si>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</si>
  <si>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</si>
  <si>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</si>
  <si>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</si>
  <si>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</si>
  <si>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</si>
  <si>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</si>
  <si>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</si>
  <si>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</si>
  <si>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</si>
  <si>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</si>
  <si>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</si>
  <si>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</si>
  <si>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</si>
  <si>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</si>
  <si>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</si>
  <si>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</si>
  <si>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</si>
  <si>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</si>
  <si>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</si>
  <si>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</si>
  <si>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</si>
  <si>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</si>
  <si>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</si>
  <si>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</si>
  <si>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</si>
  <si>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</si>
  <si>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</si>
  <si>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</si>
  <si>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</si>
  <si>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</si>
  <si>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</si>
  <si>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</si>
  <si>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</si>
  <si>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</si>
  <si>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</si>
  <si>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</si>
  <si>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</si>
  <si>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</si>
  <si>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</si>
  <si>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</si>
  <si>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</si>
  <si>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</si>
  <si>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</si>
  <si>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</si>
  <si>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</si>
  <si>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</si>
  <si>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</si>
  <si>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</si>
  <si>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</si>
  <si>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</si>
  <si>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</si>
  <si>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</si>
  <si>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</si>
  <si>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</si>
  <si>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</si>
  <si>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</si>
  <si>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</si>
  <si>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</si>
  <si>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</si>
  <si>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</si>
  <si>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11001</t>
  </si>
  <si>
    <t>AARTSELAAR</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</si>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</sst>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0DB9A426-4051-4CE3-AB75-EC1A46F89693}"/>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11001</v>
      </c>
      <c r="B6" s="382"/>
      <c r="C6" s="383"/>
    </row>
    <row r="7" spans="1:7" s="380" customFormat="1" ht="15.75" customHeight="1">
      <c r="A7" s="384" t="str">
        <f>txtMunicipality</f>
        <v>AARTSELAAR</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0.21673488319411641</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0.21673488319411641</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5850</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314</v>
      </c>
      <c r="C14" s="324"/>
      <c r="D14" s="324"/>
      <c r="E14" s="324"/>
      <c r="F14" s="324"/>
    </row>
    <row r="15" spans="1:6">
      <c r="A15" s="1235" t="s">
        <v>177</v>
      </c>
      <c r="B15" s="1236">
        <v>2</v>
      </c>
      <c r="C15" s="324"/>
      <c r="D15" s="324"/>
      <c r="E15" s="324"/>
      <c r="F15" s="324"/>
    </row>
    <row r="16" spans="1:6">
      <c r="A16" s="1235" t="s">
        <v>6</v>
      </c>
      <c r="B16" s="1236">
        <v>144</v>
      </c>
      <c r="C16" s="324"/>
      <c r="D16" s="324"/>
      <c r="E16" s="324"/>
      <c r="F16" s="324"/>
    </row>
    <row r="17" spans="1:6">
      <c r="A17" s="1235" t="s">
        <v>7</v>
      </c>
      <c r="B17" s="1236">
        <v>13</v>
      </c>
      <c r="C17" s="324"/>
      <c r="D17" s="324"/>
      <c r="E17" s="324"/>
      <c r="F17" s="324"/>
    </row>
    <row r="18" spans="1:6">
      <c r="A18" s="1235" t="s">
        <v>8</v>
      </c>
      <c r="B18" s="1236">
        <v>109</v>
      </c>
      <c r="C18" s="324"/>
      <c r="D18" s="324"/>
      <c r="E18" s="324"/>
      <c r="F18" s="324"/>
    </row>
    <row r="19" spans="1:6">
      <c r="A19" s="1235" t="s">
        <v>9</v>
      </c>
      <c r="B19" s="1236">
        <v>185</v>
      </c>
      <c r="C19" s="324"/>
      <c r="D19" s="324"/>
      <c r="E19" s="324"/>
      <c r="F19" s="324"/>
    </row>
    <row r="20" spans="1:6">
      <c r="A20" s="1235" t="s">
        <v>10</v>
      </c>
      <c r="B20" s="1236">
        <v>79</v>
      </c>
      <c r="C20" s="324"/>
      <c r="D20" s="324"/>
      <c r="E20" s="324"/>
      <c r="F20" s="324"/>
    </row>
    <row r="21" spans="1:6">
      <c r="A21" s="1235" t="s">
        <v>11</v>
      </c>
      <c r="B21" s="1236">
        <v>0</v>
      </c>
      <c r="C21" s="324"/>
      <c r="D21" s="324"/>
      <c r="E21" s="324"/>
      <c r="F21" s="324"/>
    </row>
    <row r="22" spans="1:6">
      <c r="A22" s="1235" t="s">
        <v>12</v>
      </c>
      <c r="B22" s="1236">
        <v>0</v>
      </c>
      <c r="C22" s="324"/>
      <c r="D22" s="324"/>
      <c r="E22" s="324"/>
      <c r="F22" s="324"/>
    </row>
    <row r="23" spans="1:6">
      <c r="A23" s="1235" t="s">
        <v>13</v>
      </c>
      <c r="B23" s="1236">
        <v>0</v>
      </c>
      <c r="C23" s="324"/>
      <c r="D23" s="324"/>
      <c r="E23" s="324"/>
      <c r="F23" s="324"/>
    </row>
    <row r="24" spans="1:6">
      <c r="A24" s="1235" t="s">
        <v>14</v>
      </c>
      <c r="B24" s="1236">
        <v>0</v>
      </c>
      <c r="C24" s="324"/>
      <c r="D24" s="324"/>
      <c r="E24" s="324"/>
      <c r="F24" s="324"/>
    </row>
    <row r="25" spans="1:6">
      <c r="A25" s="1235" t="s">
        <v>15</v>
      </c>
      <c r="B25" s="1236">
        <v>0</v>
      </c>
      <c r="C25" s="324"/>
      <c r="D25" s="324"/>
      <c r="E25" s="324"/>
      <c r="F25" s="324"/>
    </row>
    <row r="26" spans="1:6">
      <c r="A26" s="1235" t="s">
        <v>16</v>
      </c>
      <c r="B26" s="1236">
        <v>18</v>
      </c>
      <c r="C26" s="324"/>
      <c r="D26" s="324"/>
      <c r="E26" s="324"/>
      <c r="F26" s="324"/>
    </row>
    <row r="27" spans="1:6">
      <c r="A27" s="1235" t="s">
        <v>17</v>
      </c>
      <c r="B27" s="1236">
        <v>6</v>
      </c>
      <c r="C27" s="324"/>
      <c r="D27" s="324"/>
      <c r="E27" s="324"/>
      <c r="F27" s="324"/>
    </row>
    <row r="28" spans="1:6">
      <c r="A28" s="1235" t="s">
        <v>18</v>
      </c>
      <c r="B28" s="1237">
        <v>0</v>
      </c>
      <c r="C28" s="324"/>
      <c r="D28" s="324"/>
      <c r="E28" s="324"/>
      <c r="F28" s="324"/>
    </row>
    <row r="29" spans="1:6">
      <c r="A29" s="1235" t="s">
        <v>959</v>
      </c>
      <c r="B29" s="1237">
        <v>52</v>
      </c>
      <c r="C29" s="324"/>
      <c r="D29" s="324"/>
      <c r="E29" s="324"/>
      <c r="F29" s="324"/>
    </row>
    <row r="30" spans="1:6">
      <c r="A30" s="1230" t="s">
        <v>960</v>
      </c>
      <c r="B30" s="1238">
        <v>11</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0</v>
      </c>
      <c r="D38" s="1236">
        <v>0</v>
      </c>
      <c r="E38" s="1236">
        <v>2</v>
      </c>
      <c r="F38" s="1236">
        <v>31178</v>
      </c>
    </row>
    <row r="39" spans="1:6">
      <c r="A39" s="1235" t="s">
        <v>29</v>
      </c>
      <c r="B39" s="1235" t="s">
        <v>30</v>
      </c>
      <c r="C39" s="1236">
        <v>4786</v>
      </c>
      <c r="D39" s="1236">
        <v>89904306</v>
      </c>
      <c r="E39" s="1236">
        <v>5836</v>
      </c>
      <c r="F39" s="1236">
        <v>25804272.825987</v>
      </c>
    </row>
    <row r="40" spans="1:6">
      <c r="A40" s="1235" t="s">
        <v>29</v>
      </c>
      <c r="B40" s="1235" t="s">
        <v>28</v>
      </c>
      <c r="C40" s="1236">
        <v>0</v>
      </c>
      <c r="D40" s="1236">
        <v>0</v>
      </c>
      <c r="E40" s="1236">
        <v>0</v>
      </c>
      <c r="F40" s="1236">
        <v>0</v>
      </c>
    </row>
    <row r="41" spans="1:6">
      <c r="A41" s="1235" t="s">
        <v>31</v>
      </c>
      <c r="B41" s="1235" t="s">
        <v>32</v>
      </c>
      <c r="C41" s="1236">
        <v>43</v>
      </c>
      <c r="D41" s="1236">
        <v>1884091</v>
      </c>
      <c r="E41" s="1236">
        <v>70</v>
      </c>
      <c r="F41" s="1236">
        <v>1697377.8602267001</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24</v>
      </c>
      <c r="D44" s="1236">
        <v>4885400</v>
      </c>
      <c r="E44" s="1236">
        <v>16</v>
      </c>
      <c r="F44" s="1236">
        <v>1989021.33843639</v>
      </c>
    </row>
    <row r="45" spans="1:6">
      <c r="A45" s="1235" t="s">
        <v>31</v>
      </c>
      <c r="B45" s="1235" t="s">
        <v>36</v>
      </c>
      <c r="C45" s="1236">
        <v>3</v>
      </c>
      <c r="D45" s="1236">
        <v>528700</v>
      </c>
      <c r="E45" s="1236">
        <v>0</v>
      </c>
      <c r="F45" s="1236">
        <v>0</v>
      </c>
    </row>
    <row r="46" spans="1:6">
      <c r="A46" s="1235" t="s">
        <v>31</v>
      </c>
      <c r="B46" s="1235" t="s">
        <v>37</v>
      </c>
      <c r="C46" s="1236">
        <v>0</v>
      </c>
      <c r="D46" s="1236">
        <v>0</v>
      </c>
      <c r="E46" s="1236">
        <v>0</v>
      </c>
      <c r="F46" s="1236">
        <v>0</v>
      </c>
    </row>
    <row r="47" spans="1:6">
      <c r="A47" s="1235" t="s">
        <v>31</v>
      </c>
      <c r="B47" s="1235" t="s">
        <v>38</v>
      </c>
      <c r="C47" s="1236">
        <v>3</v>
      </c>
      <c r="D47" s="1236">
        <v>132974</v>
      </c>
      <c r="E47" s="1236">
        <v>0</v>
      </c>
      <c r="F47" s="1236">
        <v>0</v>
      </c>
    </row>
    <row r="48" spans="1:6">
      <c r="A48" s="1235" t="s">
        <v>31</v>
      </c>
      <c r="B48" s="1235" t="s">
        <v>28</v>
      </c>
      <c r="C48" s="1236">
        <v>0</v>
      </c>
      <c r="D48" s="1236">
        <v>0</v>
      </c>
      <c r="E48" s="1236">
        <v>45</v>
      </c>
      <c r="F48" s="1236">
        <v>13876644.712265501</v>
      </c>
    </row>
    <row r="49" spans="1:6">
      <c r="A49" s="1235" t="s">
        <v>31</v>
      </c>
      <c r="B49" s="1235" t="s">
        <v>39</v>
      </c>
      <c r="C49" s="1236">
        <v>0</v>
      </c>
      <c r="D49" s="1236">
        <v>0</v>
      </c>
      <c r="E49" s="1236">
        <v>0</v>
      </c>
      <c r="F49" s="1236">
        <v>0</v>
      </c>
    </row>
    <row r="50" spans="1:6">
      <c r="A50" s="1235" t="s">
        <v>31</v>
      </c>
      <c r="B50" s="1235" t="s">
        <v>40</v>
      </c>
      <c r="C50" s="1236">
        <v>9</v>
      </c>
      <c r="D50" s="1236">
        <v>9241495</v>
      </c>
      <c r="E50" s="1236">
        <v>6</v>
      </c>
      <c r="F50" s="1236">
        <v>991145.49340661895</v>
      </c>
    </row>
    <row r="51" spans="1:6">
      <c r="A51" s="1235" t="s">
        <v>41</v>
      </c>
      <c r="B51" s="1235" t="s">
        <v>42</v>
      </c>
      <c r="C51" s="1236">
        <v>7</v>
      </c>
      <c r="D51" s="1236">
        <v>791028</v>
      </c>
      <c r="E51" s="1236">
        <v>26</v>
      </c>
      <c r="F51" s="1236">
        <v>504191.44535533298</v>
      </c>
    </row>
    <row r="52" spans="1:6">
      <c r="A52" s="1235" t="s">
        <v>41</v>
      </c>
      <c r="B52" s="1235" t="s">
        <v>28</v>
      </c>
      <c r="C52" s="1236">
        <v>0</v>
      </c>
      <c r="D52" s="1236">
        <v>0</v>
      </c>
      <c r="E52" s="1236">
        <v>4</v>
      </c>
      <c r="F52" s="1236">
        <v>69229.376762491403</v>
      </c>
    </row>
    <row r="53" spans="1:6">
      <c r="A53" s="1235" t="s">
        <v>43</v>
      </c>
      <c r="B53" s="1235" t="s">
        <v>44</v>
      </c>
      <c r="C53" s="1236">
        <v>0</v>
      </c>
      <c r="D53" s="1236">
        <v>0</v>
      </c>
      <c r="E53" s="1236">
        <v>253</v>
      </c>
      <c r="F53" s="1236">
        <v>1352462.30931682</v>
      </c>
    </row>
    <row r="54" spans="1:6">
      <c r="A54" s="1235" t="s">
        <v>45</v>
      </c>
      <c r="B54" s="1235" t="s">
        <v>46</v>
      </c>
      <c r="C54" s="1236">
        <v>0</v>
      </c>
      <c r="D54" s="1236">
        <v>0</v>
      </c>
      <c r="E54" s="1236">
        <v>1</v>
      </c>
      <c r="F54" s="1236">
        <v>949606</v>
      </c>
    </row>
    <row r="55" spans="1:6">
      <c r="A55" s="1235" t="s">
        <v>45</v>
      </c>
      <c r="B55" s="1235" t="s">
        <v>28</v>
      </c>
      <c r="C55" s="1236">
        <v>0</v>
      </c>
      <c r="D55" s="1236">
        <v>0</v>
      </c>
      <c r="E55" s="1236">
        <v>0</v>
      </c>
      <c r="F55" s="1236">
        <v>0</v>
      </c>
    </row>
    <row r="56" spans="1:6">
      <c r="A56" s="1235" t="s">
        <v>47</v>
      </c>
      <c r="B56" s="1235" t="s">
        <v>28</v>
      </c>
      <c r="C56" s="1236">
        <v>45</v>
      </c>
      <c r="D56" s="1236">
        <v>2495856</v>
      </c>
      <c r="E56" s="1236">
        <v>0</v>
      </c>
      <c r="F56" s="1236">
        <v>0</v>
      </c>
    </row>
    <row r="57" spans="1:6">
      <c r="A57" s="1235" t="s">
        <v>48</v>
      </c>
      <c r="B57" s="1235" t="s">
        <v>49</v>
      </c>
      <c r="C57" s="1236">
        <v>30</v>
      </c>
      <c r="D57" s="1236">
        <v>3031197</v>
      </c>
      <c r="E57" s="1236">
        <v>49</v>
      </c>
      <c r="F57" s="1236">
        <v>2446809.4784977101</v>
      </c>
    </row>
    <row r="58" spans="1:6">
      <c r="A58" s="1235" t="s">
        <v>48</v>
      </c>
      <c r="B58" s="1235" t="s">
        <v>50</v>
      </c>
      <c r="C58" s="1236">
        <v>11</v>
      </c>
      <c r="D58" s="1236">
        <v>2543318</v>
      </c>
      <c r="E58" s="1236">
        <v>11</v>
      </c>
      <c r="F58" s="1236">
        <v>160337.61380281</v>
      </c>
    </row>
    <row r="59" spans="1:6">
      <c r="A59" s="1235" t="s">
        <v>48</v>
      </c>
      <c r="B59" s="1235" t="s">
        <v>51</v>
      </c>
      <c r="C59" s="1236">
        <v>149</v>
      </c>
      <c r="D59" s="1236">
        <v>18692932</v>
      </c>
      <c r="E59" s="1236">
        <v>249</v>
      </c>
      <c r="F59" s="1236">
        <v>12664624.4098993</v>
      </c>
    </row>
    <row r="60" spans="1:6">
      <c r="A60" s="1235" t="s">
        <v>48</v>
      </c>
      <c r="B60" s="1235" t="s">
        <v>52</v>
      </c>
      <c r="C60" s="1236">
        <v>30</v>
      </c>
      <c r="D60" s="1236">
        <v>2174012</v>
      </c>
      <c r="E60" s="1236">
        <v>68</v>
      </c>
      <c r="F60" s="1236">
        <v>2583421.4708030401</v>
      </c>
    </row>
    <row r="61" spans="1:6">
      <c r="A61" s="1235" t="s">
        <v>48</v>
      </c>
      <c r="B61" s="1235" t="s">
        <v>53</v>
      </c>
      <c r="C61" s="1236">
        <v>156</v>
      </c>
      <c r="D61" s="1236">
        <v>14213412</v>
      </c>
      <c r="E61" s="1236">
        <v>339</v>
      </c>
      <c r="F61" s="1236">
        <v>11164831.458174599</v>
      </c>
    </row>
    <row r="62" spans="1:6">
      <c r="A62" s="1235" t="s">
        <v>48</v>
      </c>
      <c r="B62" s="1235" t="s">
        <v>54</v>
      </c>
      <c r="C62" s="1236">
        <v>4</v>
      </c>
      <c r="D62" s="1236">
        <v>182164</v>
      </c>
      <c r="E62" s="1236">
        <v>4</v>
      </c>
      <c r="F62" s="1236">
        <v>106354.988605294</v>
      </c>
    </row>
    <row r="63" spans="1:6">
      <c r="A63" s="1235" t="s">
        <v>48</v>
      </c>
      <c r="B63" s="1235" t="s">
        <v>28</v>
      </c>
      <c r="C63" s="1236">
        <v>0</v>
      </c>
      <c r="D63" s="1236">
        <v>0</v>
      </c>
      <c r="E63" s="1236">
        <v>97</v>
      </c>
      <c r="F63" s="1236">
        <v>4144331.0799254398</v>
      </c>
    </row>
    <row r="64" spans="1:6">
      <c r="A64" s="1235" t="s">
        <v>55</v>
      </c>
      <c r="B64" s="1235" t="s">
        <v>56</v>
      </c>
      <c r="C64" s="1236">
        <v>0</v>
      </c>
      <c r="D64" s="1236">
        <v>0</v>
      </c>
      <c r="E64" s="1236">
        <v>0</v>
      </c>
      <c r="F64" s="1236">
        <v>0</v>
      </c>
    </row>
    <row r="65" spans="1:6">
      <c r="A65" s="1235" t="s">
        <v>55</v>
      </c>
      <c r="B65" s="1235" t="s">
        <v>28</v>
      </c>
      <c r="C65" s="1236">
        <v>0</v>
      </c>
      <c r="D65" s="1236">
        <v>0</v>
      </c>
      <c r="E65" s="1236">
        <v>4</v>
      </c>
      <c r="F65" s="1236">
        <v>137274.893861861</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4</v>
      </c>
      <c r="D68" s="1238">
        <v>285564</v>
      </c>
      <c r="E68" s="1238">
        <v>7</v>
      </c>
      <c r="F68" s="1238">
        <v>154322.41263417399</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182629723</v>
      </c>
      <c r="E73" s="443"/>
      <c r="F73" s="324"/>
    </row>
    <row r="74" spans="1:6">
      <c r="A74" s="1235" t="s">
        <v>63</v>
      </c>
      <c r="B74" s="1235" t="s">
        <v>730</v>
      </c>
      <c r="C74" s="1248" t="s">
        <v>731</v>
      </c>
      <c r="D74" s="1236">
        <v>38309862.5666885</v>
      </c>
      <c r="E74" s="443"/>
      <c r="F74" s="324"/>
    </row>
    <row r="75" spans="1:6">
      <c r="A75" s="1235" t="s">
        <v>64</v>
      </c>
      <c r="B75" s="1235" t="s">
        <v>728</v>
      </c>
      <c r="C75" s="1248" t="s">
        <v>732</v>
      </c>
      <c r="D75" s="1236">
        <v>22426506</v>
      </c>
      <c r="E75" s="443"/>
      <c r="F75" s="324"/>
    </row>
    <row r="76" spans="1:6">
      <c r="A76" s="1235" t="s">
        <v>64</v>
      </c>
      <c r="B76" s="1235" t="s">
        <v>730</v>
      </c>
      <c r="C76" s="1248" t="s">
        <v>733</v>
      </c>
      <c r="D76" s="1236">
        <v>4151601.5666885008</v>
      </c>
      <c r="E76" s="443"/>
      <c r="F76" s="324"/>
    </row>
    <row r="77" spans="1:6">
      <c r="A77" s="1235" t="s">
        <v>65</v>
      </c>
      <c r="B77" s="1235" t="s">
        <v>728</v>
      </c>
      <c r="C77" s="1248" t="s">
        <v>734</v>
      </c>
      <c r="D77" s="1236">
        <v>9572539</v>
      </c>
      <c r="E77" s="443"/>
      <c r="F77" s="324"/>
    </row>
    <row r="78" spans="1:6">
      <c r="A78" s="1230" t="s">
        <v>65</v>
      </c>
      <c r="B78" s="1230" t="s">
        <v>730</v>
      </c>
      <c r="C78" s="1230" t="s">
        <v>735</v>
      </c>
      <c r="D78" s="1238">
        <v>1047140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471136.86662299861</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902.60315733452228</v>
      </c>
      <c r="C91" s="324"/>
      <c r="D91" s="324"/>
      <c r="E91" s="324"/>
      <c r="F91" s="324"/>
    </row>
    <row r="92" spans="1:6">
      <c r="A92" s="1230" t="s">
        <v>68</v>
      </c>
      <c r="B92" s="1231">
        <v>668.69096616631089</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3801</v>
      </c>
      <c r="C97" s="324"/>
      <c r="D97" s="324"/>
      <c r="E97" s="324"/>
      <c r="F97" s="324"/>
    </row>
    <row r="98" spans="1:6">
      <c r="A98" s="1235" t="s">
        <v>71</v>
      </c>
      <c r="B98" s="1236">
        <v>4</v>
      </c>
      <c r="C98" s="324"/>
      <c r="D98" s="324"/>
      <c r="E98" s="324"/>
      <c r="F98" s="324"/>
    </row>
    <row r="99" spans="1:6">
      <c r="A99" s="1235" t="s">
        <v>72</v>
      </c>
      <c r="B99" s="1236">
        <v>11</v>
      </c>
      <c r="C99" s="324"/>
      <c r="D99" s="324"/>
      <c r="E99" s="324"/>
      <c r="F99" s="324"/>
    </row>
    <row r="100" spans="1:6">
      <c r="A100" s="1235" t="s">
        <v>73</v>
      </c>
      <c r="B100" s="1236">
        <v>478</v>
      </c>
      <c r="C100" s="324"/>
      <c r="D100" s="324"/>
      <c r="E100" s="324"/>
      <c r="F100" s="324"/>
    </row>
    <row r="101" spans="1:6">
      <c r="A101" s="1235" t="s">
        <v>74</v>
      </c>
      <c r="B101" s="1236">
        <v>26</v>
      </c>
      <c r="C101" s="324"/>
      <c r="D101" s="324"/>
      <c r="E101" s="324"/>
      <c r="F101" s="324"/>
    </row>
    <row r="102" spans="1:6">
      <c r="A102" s="1235" t="s">
        <v>75</v>
      </c>
      <c r="B102" s="1236">
        <v>64</v>
      </c>
      <c r="C102" s="324"/>
      <c r="D102" s="324"/>
      <c r="E102" s="324"/>
      <c r="F102" s="324"/>
    </row>
    <row r="103" spans="1:6">
      <c r="A103" s="1235" t="s">
        <v>76</v>
      </c>
      <c r="B103" s="1236">
        <v>37</v>
      </c>
      <c r="C103" s="324"/>
      <c r="D103" s="324"/>
      <c r="E103" s="324"/>
      <c r="F103" s="324"/>
    </row>
    <row r="104" spans="1:6">
      <c r="A104" s="1235" t="s">
        <v>77</v>
      </c>
      <c r="B104" s="1236">
        <v>1023</v>
      </c>
      <c r="C104" s="324"/>
      <c r="D104" s="324"/>
      <c r="E104" s="324"/>
      <c r="F104" s="324"/>
    </row>
    <row r="105" spans="1:6">
      <c r="A105" s="1230" t="s">
        <v>78</v>
      </c>
      <c r="B105" s="1238">
        <v>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1</v>
      </c>
      <c r="C123" s="1236">
        <v>3</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27</v>
      </c>
      <c r="C129" s="324"/>
      <c r="D129" s="324"/>
      <c r="E129" s="324"/>
      <c r="F129" s="324"/>
    </row>
    <row r="130" spans="1:6">
      <c r="A130" s="1235" t="s">
        <v>284</v>
      </c>
      <c r="B130" s="1236">
        <v>0</v>
      </c>
      <c r="C130" s="324"/>
      <c r="D130" s="324"/>
      <c r="E130" s="324"/>
      <c r="F130" s="324"/>
    </row>
    <row r="131" spans="1:6">
      <c r="A131" s="1235" t="s">
        <v>285</v>
      </c>
      <c r="B131" s="1236">
        <v>2</v>
      </c>
      <c r="C131" s="324"/>
      <c r="D131" s="324"/>
      <c r="E131" s="324"/>
      <c r="F131" s="324"/>
    </row>
    <row r="132" spans="1:6">
      <c r="A132" s="1230" t="s">
        <v>286</v>
      </c>
      <c r="B132" s="1231">
        <v>4</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81417.700170521581</v>
      </c>
      <c r="C3" s="43" t="s">
        <v>163</v>
      </c>
      <c r="D3" s="43"/>
      <c r="E3" s="155"/>
      <c r="F3" s="43"/>
      <c r="G3" s="43"/>
      <c r="H3" s="43"/>
      <c r="I3" s="43"/>
      <c r="J3" s="43"/>
      <c r="K3" s="96"/>
    </row>
    <row r="4" spans="1:11">
      <c r="A4" s="350" t="s">
        <v>164</v>
      </c>
      <c r="B4" s="49">
        <f>IF(ISERROR('SEAP template'!B78+'SEAP template'!C78),0,'SEAP template'!B78+'SEAP template'!C78)</f>
        <v>1571.2941235008332</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0.21673488319411641</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949.60599999999999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949.60599999999999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0.21673488319411641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205.81274549043209</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25804.272825986998</v>
      </c>
      <c r="C5" s="17">
        <f>IF(ISERROR('Eigen informatie GS &amp; warmtenet'!B57),0,'Eigen informatie GS &amp; warmtenet'!B57)</f>
        <v>0</v>
      </c>
      <c r="D5" s="30">
        <f>(SUM(HH_hh_gas_kWh,HH_rest_gas_kWh)/1000)*0.902</f>
        <v>81093.684011999998</v>
      </c>
      <c r="E5" s="17">
        <f>B32*B41</f>
        <v>626.66761703786256</v>
      </c>
      <c r="F5" s="17">
        <f>B36*B45</f>
        <v>21390.92037567584</v>
      </c>
      <c r="G5" s="18"/>
      <c r="H5" s="17"/>
      <c r="I5" s="17"/>
      <c r="J5" s="17">
        <f>B35*B44+C35*C44</f>
        <v>481.66929473395925</v>
      </c>
      <c r="K5" s="17"/>
      <c r="L5" s="17"/>
      <c r="M5" s="17"/>
      <c r="N5" s="17">
        <f>B34*B43+C34*C43</f>
        <v>6655.6393464296916</v>
      </c>
      <c r="O5" s="17">
        <f>B52*B53*B54</f>
        <v>46.9</v>
      </c>
      <c r="P5" s="17">
        <f>B60*B61*B62/1000-B60*B61*B62/1000/B63</f>
        <v>95.333333333333343</v>
      </c>
    </row>
    <row r="6" spans="1:16">
      <c r="A6" s="16" t="s">
        <v>591</v>
      </c>
      <c r="B6" s="727">
        <f>kWh_PV_kleiner_dan_10kW</f>
        <v>902.60315733452228</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26706.875983321519</v>
      </c>
      <c r="C8" s="21">
        <f>C5</f>
        <v>0</v>
      </c>
      <c r="D8" s="21">
        <f>D5</f>
        <v>81093.684011999998</v>
      </c>
      <c r="E8" s="21">
        <f>E5</f>
        <v>626.66761703786256</v>
      </c>
      <c r="F8" s="21">
        <f>F5</f>
        <v>21390.92037567584</v>
      </c>
      <c r="G8" s="21"/>
      <c r="H8" s="21"/>
      <c r="I8" s="21"/>
      <c r="J8" s="21">
        <f>J5</f>
        <v>481.66929473395925</v>
      </c>
      <c r="K8" s="21"/>
      <c r="L8" s="21">
        <f>L5</f>
        <v>0</v>
      </c>
      <c r="M8" s="21">
        <f>M5</f>
        <v>0</v>
      </c>
      <c r="N8" s="21">
        <f>N5</f>
        <v>6655.6393464296916</v>
      </c>
      <c r="O8" s="21">
        <f>O5</f>
        <v>46.9</v>
      </c>
      <c r="P8" s="21">
        <f>P5</f>
        <v>95.333333333333343</v>
      </c>
    </row>
    <row r="9" spans="1:16">
      <c r="B9" s="19"/>
      <c r="C9" s="19"/>
      <c r="D9" s="255"/>
      <c r="E9" s="19"/>
      <c r="F9" s="19"/>
      <c r="G9" s="19"/>
      <c r="H9" s="19"/>
      <c r="I9" s="19"/>
      <c r="J9" s="19"/>
      <c r="K9" s="19"/>
      <c r="L9" s="19"/>
      <c r="M9" s="19"/>
      <c r="N9" s="19"/>
      <c r="O9" s="19"/>
      <c r="P9" s="19"/>
    </row>
    <row r="10" spans="1:16">
      <c r="A10" s="24" t="s">
        <v>207</v>
      </c>
      <c r="B10" s="25">
        <f ca="1">'EF ele_warmte'!B12</f>
        <v>0.21673488319411641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5788.311646724942</v>
      </c>
      <c r="C12" s="23">
        <f ca="1">C10*C8</f>
        <v>0</v>
      </c>
      <c r="D12" s="23">
        <f>D8*D10</f>
        <v>16380.924170424001</v>
      </c>
      <c r="E12" s="23">
        <f>E10*E8</f>
        <v>142.2535490675948</v>
      </c>
      <c r="F12" s="23">
        <f>F10*F8</f>
        <v>5711.3757403054497</v>
      </c>
      <c r="G12" s="23"/>
      <c r="H12" s="23"/>
      <c r="I12" s="23"/>
      <c r="J12" s="23">
        <f>J10*J8</f>
        <v>170.51093033582157</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5850</v>
      </c>
      <c r="C26" s="36"/>
      <c r="D26" s="225"/>
    </row>
    <row r="27" spans="1:5" s="15" customFormat="1">
      <c r="A27" s="227" t="s">
        <v>671</v>
      </c>
      <c r="B27" s="37">
        <f>SUM(HH_hh_gas_aantal,HH_rest_gas_aantal)</f>
        <v>4786</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4546.7</v>
      </c>
      <c r="C31" s="34" t="s">
        <v>104</v>
      </c>
      <c r="D31" s="171"/>
    </row>
    <row r="32" spans="1:5">
      <c r="A32" s="168" t="s">
        <v>72</v>
      </c>
      <c r="B32" s="33">
        <f>IF((B21*($B$26-($B$27-0.05*$B$27)-$B$60))&lt;0,0,B21*($B$26-($B$27-0.05*$B$27)-$B$60))</f>
        <v>9.2043869800059852</v>
      </c>
      <c r="C32" s="34" t="s">
        <v>104</v>
      </c>
      <c r="D32" s="171"/>
    </row>
    <row r="33" spans="1:6">
      <c r="A33" s="168" t="s">
        <v>73</v>
      </c>
      <c r="B33" s="33">
        <f>IF((B22*($B$26-($B$27-0.05*$B$27)-$B$60))&lt;0,0,B22*($B$26-($B$27-0.05*$B$27)-$B$60))</f>
        <v>263.79647854942328</v>
      </c>
      <c r="C33" s="34" t="s">
        <v>104</v>
      </c>
      <c r="D33" s="171"/>
    </row>
    <row r="34" spans="1:6">
      <c r="A34" s="168" t="s">
        <v>74</v>
      </c>
      <c r="B34" s="33">
        <f>IF((B24*($B$26-($B$27-0.05*$B$27)-$B$60))&lt;0,0,B24*($B$26-($B$27-0.05*$B$27)-$B$60))</f>
        <v>52.603805708118834</v>
      </c>
      <c r="C34" s="33">
        <f>B26*C24</f>
        <v>1196.1940461704955</v>
      </c>
      <c r="D34" s="230"/>
    </row>
    <row r="35" spans="1:6">
      <c r="A35" s="168" t="s">
        <v>76</v>
      </c>
      <c r="B35" s="33">
        <f>IF((B19*($B$26-($B$27-0.05*$B$27)-$B$60))&lt;0,0,B19*($B$26-($B$27-0.05*$B$27)-$B$60))</f>
        <v>27.394008869065434</v>
      </c>
      <c r="C35" s="33">
        <f>B35/2</f>
        <v>13.697004434532717</v>
      </c>
      <c r="D35" s="230"/>
    </row>
    <row r="36" spans="1:6">
      <c r="A36" s="168" t="s">
        <v>77</v>
      </c>
      <c r="B36" s="33">
        <f>IF((B18*($B$26-($B$27-0.05*$B$27)-$B$60))&lt;0,0,B18*($B$26-($B$27-0.05*$B$27)-$B$60))</f>
        <v>945.30131989338668</v>
      </c>
      <c r="C36" s="34" t="s">
        <v>104</v>
      </c>
      <c r="D36" s="171"/>
    </row>
    <row r="37" spans="1:6">
      <c r="A37" s="168" t="s">
        <v>78</v>
      </c>
      <c r="B37" s="33">
        <f>B60</f>
        <v>5</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30</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5</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33270.710499708191</v>
      </c>
      <c r="C5" s="17">
        <f>IF(ISERROR('Eigen informatie GS &amp; warmtenet'!B58),0,'Eigen informatie GS &amp; warmtenet'!B58)</f>
        <v>0</v>
      </c>
      <c r="D5" s="30">
        <f>SUM(D6:D12)</f>
        <v>36835.005570000001</v>
      </c>
      <c r="E5" s="17">
        <f>SUM(E6:E12)</f>
        <v>695.74772764186332</v>
      </c>
      <c r="F5" s="17">
        <f>SUM(F6:F12)</f>
        <v>5693.3900090796515</v>
      </c>
      <c r="G5" s="18"/>
      <c r="H5" s="17"/>
      <c r="I5" s="17"/>
      <c r="J5" s="17">
        <f>SUM(J6:J12)</f>
        <v>0</v>
      </c>
      <c r="K5" s="17"/>
      <c r="L5" s="17"/>
      <c r="M5" s="17"/>
      <c r="N5" s="17">
        <f>SUM(N6:N12)</f>
        <v>810.03173138278612</v>
      </c>
      <c r="O5" s="17">
        <f>B38*B39*B40</f>
        <v>0</v>
      </c>
      <c r="P5" s="17">
        <f>B46*B47*B48/1000-B46*B47*B48/1000/B49</f>
        <v>38.133333333333333</v>
      </c>
      <c r="R5" s="32"/>
    </row>
    <row r="6" spans="1:18">
      <c r="A6" s="32" t="s">
        <v>53</v>
      </c>
      <c r="B6" s="37">
        <f>B26</f>
        <v>11164.8314581746</v>
      </c>
      <c r="C6" s="33"/>
      <c r="D6" s="37">
        <f>IF(ISERROR(TER_kantoor_gas_kWh/1000),0,TER_kantoor_gas_kWh/1000)*0.902</f>
        <v>12820.497624000001</v>
      </c>
      <c r="E6" s="33">
        <f>$C$26*'E Balans VL '!I12/100/3.6*1000000</f>
        <v>386.21397204125725</v>
      </c>
      <c r="F6" s="33">
        <f>$C$26*('E Balans VL '!L12+'E Balans VL '!N12)/100/3.6*1000000</f>
        <v>1704.4300754020087</v>
      </c>
      <c r="G6" s="34"/>
      <c r="H6" s="33"/>
      <c r="I6" s="33"/>
      <c r="J6" s="33">
        <f>$C$26*('E Balans VL '!D12+'E Balans VL '!E12)/100/3.6*1000000</f>
        <v>0</v>
      </c>
      <c r="K6" s="33"/>
      <c r="L6" s="33"/>
      <c r="M6" s="33"/>
      <c r="N6" s="33">
        <f>$C$26*'E Balans VL '!Y12/100/3.6*1000000</f>
        <v>172.11118431957092</v>
      </c>
      <c r="O6" s="33"/>
      <c r="P6" s="33"/>
      <c r="R6" s="32"/>
    </row>
    <row r="7" spans="1:18">
      <c r="A7" s="32" t="s">
        <v>52</v>
      </c>
      <c r="B7" s="37">
        <f t="shared" ref="B7:B12" si="0">B27</f>
        <v>2583.4214708030399</v>
      </c>
      <c r="C7" s="33"/>
      <c r="D7" s="37">
        <f>IF(ISERROR(TER_horeca_gas_kWh/1000),0,TER_horeca_gas_kWh/1000)*0.902</f>
        <v>1960.9588240000003</v>
      </c>
      <c r="E7" s="33">
        <f>$C$27*'E Balans VL '!I9/100/3.6*1000000</f>
        <v>141.57970576550665</v>
      </c>
      <c r="F7" s="33">
        <f>$C$27*('E Balans VL '!L9+'E Balans VL '!N9)/100/3.6*1000000</f>
        <v>437.20132791905968</v>
      </c>
      <c r="G7" s="34"/>
      <c r="H7" s="33"/>
      <c r="I7" s="33"/>
      <c r="J7" s="33">
        <f>$C$27*('E Balans VL '!D9+'E Balans VL '!E9)/100/3.6*1000000</f>
        <v>0</v>
      </c>
      <c r="K7" s="33"/>
      <c r="L7" s="33"/>
      <c r="M7" s="33"/>
      <c r="N7" s="33">
        <f>$C$27*'E Balans VL '!Y9/100/3.6*1000000</f>
        <v>0</v>
      </c>
      <c r="O7" s="33"/>
      <c r="P7" s="33"/>
      <c r="R7" s="32"/>
    </row>
    <row r="8" spans="1:18">
      <c r="A8" s="6" t="s">
        <v>51</v>
      </c>
      <c r="B8" s="37">
        <f t="shared" si="0"/>
        <v>12664.624409899299</v>
      </c>
      <c r="C8" s="33"/>
      <c r="D8" s="37">
        <f>IF(ISERROR(TER_handel_gas_kWh/1000),0,TER_handel_gas_kWh/1000)*0.902</f>
        <v>16861.024664</v>
      </c>
      <c r="E8" s="33">
        <f>$C$28*'E Balans VL '!I13/100/3.6*1000000</f>
        <v>64.07249736726007</v>
      </c>
      <c r="F8" s="33">
        <f>$C$28*('E Balans VL '!L13+'E Balans VL '!N13)/100/3.6*1000000</f>
        <v>1924.2906262523934</v>
      </c>
      <c r="G8" s="34"/>
      <c r="H8" s="33"/>
      <c r="I8" s="33"/>
      <c r="J8" s="33">
        <f>$C$28*('E Balans VL '!D13+'E Balans VL '!E13)/100/3.6*1000000</f>
        <v>0</v>
      </c>
      <c r="K8" s="33"/>
      <c r="L8" s="33"/>
      <c r="M8" s="33"/>
      <c r="N8" s="33">
        <f>$C$28*'E Balans VL '!Y13/100/3.6*1000000</f>
        <v>5.9223173969741003</v>
      </c>
      <c r="O8" s="33"/>
      <c r="P8" s="33"/>
      <c r="R8" s="32"/>
    </row>
    <row r="9" spans="1:18">
      <c r="A9" s="32" t="s">
        <v>50</v>
      </c>
      <c r="B9" s="37">
        <f t="shared" si="0"/>
        <v>160.33761380280998</v>
      </c>
      <c r="C9" s="33"/>
      <c r="D9" s="37">
        <f>IF(ISERROR(TER_gezond_gas_kWh/1000),0,TER_gezond_gas_kWh/1000)*0.902</f>
        <v>2294.0728360000003</v>
      </c>
      <c r="E9" s="33">
        <f>$C$29*'E Balans VL '!I10/100/3.6*1000000</f>
        <v>5.8306077274410673E-2</v>
      </c>
      <c r="F9" s="33">
        <f>$C$29*('E Balans VL '!L10+'E Balans VL '!N10)/100/3.6*1000000</f>
        <v>34.644625674728445</v>
      </c>
      <c r="G9" s="34"/>
      <c r="H9" s="33"/>
      <c r="I9" s="33"/>
      <c r="J9" s="33">
        <f>$C$29*('E Balans VL '!D10+'E Balans VL '!E10)/100/3.6*1000000</f>
        <v>0</v>
      </c>
      <c r="K9" s="33"/>
      <c r="L9" s="33"/>
      <c r="M9" s="33"/>
      <c r="N9" s="33">
        <f>$C$29*'E Balans VL '!Y10/100/3.6*1000000</f>
        <v>1.2157237166738235</v>
      </c>
      <c r="O9" s="33"/>
      <c r="P9" s="33"/>
      <c r="R9" s="32"/>
    </row>
    <row r="10" spans="1:18">
      <c r="A10" s="32" t="s">
        <v>49</v>
      </c>
      <c r="B10" s="37">
        <f t="shared" si="0"/>
        <v>2446.8094784977102</v>
      </c>
      <c r="C10" s="33"/>
      <c r="D10" s="37">
        <f>IF(ISERROR(TER_ander_gas_kWh/1000),0,TER_ander_gas_kWh/1000)*0.902</f>
        <v>2734.139694</v>
      </c>
      <c r="E10" s="33">
        <f>$C$30*'E Balans VL '!I14/100/3.6*1000000</f>
        <v>14.895316592456377</v>
      </c>
      <c r="F10" s="33">
        <f>$C$30*('E Balans VL '!L14+'E Balans VL '!N14)/100/3.6*1000000</f>
        <v>647.79140753622619</v>
      </c>
      <c r="G10" s="34"/>
      <c r="H10" s="33"/>
      <c r="I10" s="33"/>
      <c r="J10" s="33">
        <f>$C$30*('E Balans VL '!D14+'E Balans VL '!E14)/100/3.6*1000000</f>
        <v>0</v>
      </c>
      <c r="K10" s="33"/>
      <c r="L10" s="33"/>
      <c r="M10" s="33"/>
      <c r="N10" s="33">
        <f>$C$30*'E Balans VL '!Y14/100/3.6*1000000</f>
        <v>509.60695945341917</v>
      </c>
      <c r="O10" s="33"/>
      <c r="P10" s="33"/>
      <c r="R10" s="32"/>
    </row>
    <row r="11" spans="1:18">
      <c r="A11" s="32" t="s">
        <v>54</v>
      </c>
      <c r="B11" s="37">
        <f t="shared" si="0"/>
        <v>106.354988605294</v>
      </c>
      <c r="C11" s="33"/>
      <c r="D11" s="37">
        <f>IF(ISERROR(TER_onderwijs_gas_kWh/1000),0,TER_onderwijs_gas_kWh/1000)*0.902</f>
        <v>164.31192799999999</v>
      </c>
      <c r="E11" s="33">
        <f>$C$31*'E Balans VL '!I11/100/3.6*1000000</f>
        <v>0.13199574907088465</v>
      </c>
      <c r="F11" s="33">
        <f>$C$31*('E Balans VL '!L11+'E Balans VL '!N11)/100/3.6*1000000</f>
        <v>125.34492246280143</v>
      </c>
      <c r="G11" s="34"/>
      <c r="H11" s="33"/>
      <c r="I11" s="33"/>
      <c r="J11" s="33">
        <f>$C$31*('E Balans VL '!D11+'E Balans VL '!E11)/100/3.6*1000000</f>
        <v>0</v>
      </c>
      <c r="K11" s="33"/>
      <c r="L11" s="33"/>
      <c r="M11" s="33"/>
      <c r="N11" s="33">
        <f>$C$31*'E Balans VL '!Y11/100/3.6*1000000</f>
        <v>0.51049401209587864</v>
      </c>
      <c r="O11" s="33"/>
      <c r="P11" s="33"/>
      <c r="R11" s="32"/>
    </row>
    <row r="12" spans="1:18">
      <c r="A12" s="32" t="s">
        <v>249</v>
      </c>
      <c r="B12" s="37">
        <f t="shared" si="0"/>
        <v>4144.3310799254396</v>
      </c>
      <c r="C12" s="33"/>
      <c r="D12" s="37">
        <f>IF(ISERROR(TER_rest_gas_kWh/1000),0,TER_rest_gas_kWh/1000)*0.902</f>
        <v>0</v>
      </c>
      <c r="E12" s="33">
        <f>$C$32*'E Balans VL '!I8/100/3.6*1000000</f>
        <v>88.795934049037555</v>
      </c>
      <c r="F12" s="33">
        <f>$C$32*('E Balans VL '!L8+'E Balans VL '!N8)/100/3.6*1000000</f>
        <v>819.68702383243453</v>
      </c>
      <c r="G12" s="34"/>
      <c r="H12" s="33"/>
      <c r="I12" s="33"/>
      <c r="J12" s="33">
        <f>$C$32*('E Balans VL '!D8+'E Balans VL '!E8)/100/3.6*1000000</f>
        <v>0</v>
      </c>
      <c r="K12" s="33"/>
      <c r="L12" s="33"/>
      <c r="M12" s="33"/>
      <c r="N12" s="33">
        <f>$C$32*'E Balans VL '!Y8/100/3.6*1000000</f>
        <v>120.66505248405218</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33270.710499708191</v>
      </c>
      <c r="C16" s="21">
        <f ca="1">C5+C13+C14</f>
        <v>0</v>
      </c>
      <c r="D16" s="21">
        <f t="shared" ref="D16:N16" ca="1" si="1">MAX((D5+D13+D14),0)</f>
        <v>36835.005570000001</v>
      </c>
      <c r="E16" s="21">
        <f t="shared" si="1"/>
        <v>695.74772764186332</v>
      </c>
      <c r="F16" s="21">
        <f t="shared" ca="1" si="1"/>
        <v>5693.3900090796515</v>
      </c>
      <c r="G16" s="21">
        <f t="shared" si="1"/>
        <v>0</v>
      </c>
      <c r="H16" s="21">
        <f t="shared" si="1"/>
        <v>0</v>
      </c>
      <c r="I16" s="21">
        <f t="shared" si="1"/>
        <v>0</v>
      </c>
      <c r="J16" s="21">
        <f t="shared" si="1"/>
        <v>0</v>
      </c>
      <c r="K16" s="21">
        <f t="shared" si="1"/>
        <v>0</v>
      </c>
      <c r="L16" s="21">
        <f t="shared" ca="1" si="1"/>
        <v>0</v>
      </c>
      <c r="M16" s="21">
        <f t="shared" si="1"/>
        <v>0</v>
      </c>
      <c r="N16" s="21">
        <f t="shared" ca="1" si="1"/>
        <v>810.03173138278612</v>
      </c>
      <c r="O16" s="21">
        <f>O5</f>
        <v>0</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0.21673488319411641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7210.9235539395168</v>
      </c>
      <c r="C20" s="23">
        <f t="shared" ref="C20:P20" ca="1" si="2">C16*C18</f>
        <v>0</v>
      </c>
      <c r="D20" s="23">
        <f t="shared" ca="1" si="2"/>
        <v>7440.6711251400011</v>
      </c>
      <c r="E20" s="23">
        <f t="shared" si="2"/>
        <v>157.93473417470298</v>
      </c>
      <c r="F20" s="23">
        <f t="shared" ca="1" si="2"/>
        <v>1520.1351324242671</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11164.8314581746</v>
      </c>
      <c r="C26" s="39">
        <f>IF(ISERROR(B26*3.6/1000000/'E Balans VL '!Z12*100),0,B26*3.6/1000000/'E Balans VL '!Z12*100)</f>
        <v>0.23218054898552404</v>
      </c>
      <c r="D26" s="233" t="s">
        <v>676</v>
      </c>
      <c r="F26" s="6"/>
    </row>
    <row r="27" spans="1:18">
      <c r="A27" s="228" t="s">
        <v>52</v>
      </c>
      <c r="B27" s="33">
        <f>IF(ISERROR(TER_horeca_ele_kWh/1000),0,TER_horeca_ele_kWh/1000)</f>
        <v>2583.4214708030399</v>
      </c>
      <c r="C27" s="39">
        <f>IF(ISERROR(B27*3.6/1000000/'E Balans VL '!Z9*100),0,B27*3.6/1000000/'E Balans VL '!Z9*100)</f>
        <v>0.21248824929833318</v>
      </c>
      <c r="D27" s="233" t="s">
        <v>676</v>
      </c>
      <c r="F27" s="6"/>
    </row>
    <row r="28" spans="1:18">
      <c r="A28" s="168" t="s">
        <v>51</v>
      </c>
      <c r="B28" s="33">
        <f>IF(ISERROR(TER_handel_ele_kWh/1000),0,TER_handel_ele_kWh/1000)</f>
        <v>12664.624409899299</v>
      </c>
      <c r="C28" s="39">
        <f>IF(ISERROR(B28*3.6/1000000/'E Balans VL '!Z13*100),0,B28*3.6/1000000/'E Balans VL '!Z13*100)</f>
        <v>0.35055432779832668</v>
      </c>
      <c r="D28" s="233" t="s">
        <v>676</v>
      </c>
      <c r="F28" s="6"/>
    </row>
    <row r="29" spans="1:18">
      <c r="A29" s="228" t="s">
        <v>50</v>
      </c>
      <c r="B29" s="33">
        <f>IF(ISERROR(TER_gezond_ele_kWh/1000),0,TER_gezond_ele_kWh/1000)</f>
        <v>160.33761380280998</v>
      </c>
      <c r="C29" s="39">
        <f>IF(ISERROR(B29*3.6/1000000/'E Balans VL '!Z10*100),0,B29*3.6/1000000/'E Balans VL '!Z10*100)</f>
        <v>1.8285341063872824E-2</v>
      </c>
      <c r="D29" s="233" t="s">
        <v>676</v>
      </c>
      <c r="F29" s="6"/>
    </row>
    <row r="30" spans="1:18">
      <c r="A30" s="228" t="s">
        <v>49</v>
      </c>
      <c r="B30" s="33">
        <f>IF(ISERROR(TER_ander_ele_kWh/1000),0,TER_ander_ele_kWh/1000)</f>
        <v>2446.8094784977102</v>
      </c>
      <c r="C30" s="39">
        <f>IF(ISERROR(B30*3.6/1000000/'E Balans VL '!Z14*100),0,B30*3.6/1000000/'E Balans VL '!Z14*100)</f>
        <v>0.18938969066912614</v>
      </c>
      <c r="D30" s="233" t="s">
        <v>676</v>
      </c>
      <c r="F30" s="6"/>
    </row>
    <row r="31" spans="1:18">
      <c r="A31" s="228" t="s">
        <v>54</v>
      </c>
      <c r="B31" s="33">
        <f>IF(ISERROR(TER_onderwijs_ele_kWh/1000),0,TER_onderwijs_ele_kWh/1000)</f>
        <v>106.354988605294</v>
      </c>
      <c r="C31" s="39">
        <f>IF(ISERROR(B31*3.6/1000000/'E Balans VL '!Z11*100),0,B31*3.6/1000000/'E Balans VL '!Z11*100)</f>
        <v>3.313820266769741E-2</v>
      </c>
      <c r="D31" s="233" t="s">
        <v>676</v>
      </c>
    </row>
    <row r="32" spans="1:18">
      <c r="A32" s="228" t="s">
        <v>249</v>
      </c>
      <c r="B32" s="33">
        <f>IF(ISERROR(TER_rest_ele_kWh/1000),0,TER_rest_ele_kWh/1000)</f>
        <v>4144.3310799254396</v>
      </c>
      <c r="C32" s="39">
        <f>IF(ISERROR(B32*3.6/1000000/'E Balans VL '!Z8*100),0,B32*3.6/1000000/'E Balans VL '!Z8*100)</f>
        <v>3.417448438965133E-2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0</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2</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18554.189404335208</v>
      </c>
      <c r="C5" s="17">
        <f>IF(ISERROR('Eigen informatie GS &amp; warmtenet'!B59),0,'Eigen informatie GS &amp; warmtenet'!B59)</f>
        <v>0</v>
      </c>
      <c r="D5" s="30">
        <f>SUM(D6:D15)</f>
        <v>15038.739320000001</v>
      </c>
      <c r="E5" s="17">
        <f>SUM(E6:E15)</f>
        <v>176.76219094740833</v>
      </c>
      <c r="F5" s="17">
        <f>SUM(F6:F15)</f>
        <v>4479.2517164062092</v>
      </c>
      <c r="G5" s="18"/>
      <c r="H5" s="17"/>
      <c r="I5" s="17"/>
      <c r="J5" s="17">
        <f>SUM(J6:J15)</f>
        <v>138.70940931971822</v>
      </c>
      <c r="K5" s="17"/>
      <c r="L5" s="17"/>
      <c r="M5" s="17"/>
      <c r="N5" s="17">
        <f>SUM(N6:N15)</f>
        <v>397.47971658374297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1989.0213384363901</v>
      </c>
      <c r="C8" s="33"/>
      <c r="D8" s="37">
        <f>IF( ISERROR(IND_metaal_Gas_kWH/1000),0,IND_metaal_Gas_kWH/1000)*0.902</f>
        <v>4406.6307999999999</v>
      </c>
      <c r="E8" s="33">
        <f>C30*'E Balans VL '!I18/100/3.6*1000000</f>
        <v>13.976414087540885</v>
      </c>
      <c r="F8" s="33">
        <f>C30*'E Balans VL '!L18/100/3.6*1000000+C30*'E Balans VL '!N18/100/3.6*1000000</f>
        <v>218.38290604008074</v>
      </c>
      <c r="G8" s="34"/>
      <c r="H8" s="33"/>
      <c r="I8" s="33"/>
      <c r="J8" s="40">
        <f>C30*'E Balans VL '!D18/100/3.6*1000000+C30*'E Balans VL '!E18/100/3.6*1000000</f>
        <v>41.03779733217074</v>
      </c>
      <c r="K8" s="33"/>
      <c r="L8" s="33"/>
      <c r="M8" s="33"/>
      <c r="N8" s="33">
        <f>C30*'E Balans VL '!Y18/100/3.6*1000000</f>
        <v>7.4549952256227323</v>
      </c>
      <c r="O8" s="33"/>
      <c r="P8" s="33"/>
      <c r="R8" s="32"/>
    </row>
    <row r="9" spans="1:18">
      <c r="A9" s="6" t="s">
        <v>32</v>
      </c>
      <c r="B9" s="37">
        <f t="shared" si="0"/>
        <v>1697.3778602267</v>
      </c>
      <c r="C9" s="33"/>
      <c r="D9" s="37">
        <f>IF( ISERROR(IND_andere_gas_kWh/1000),0,IND_andere_gas_kWh/1000)*0.902</f>
        <v>1699.4500819999998</v>
      </c>
      <c r="E9" s="33">
        <f>C31*'E Balans VL '!I19/100/3.6*1000000</f>
        <v>28.509540516776291</v>
      </c>
      <c r="F9" s="33">
        <f>C31*'E Balans VL '!L19/100/3.6*1000000+C31*'E Balans VL '!N19/100/3.6*1000000</f>
        <v>1326.9133357008352</v>
      </c>
      <c r="G9" s="34"/>
      <c r="H9" s="33"/>
      <c r="I9" s="33"/>
      <c r="J9" s="40">
        <f>C31*'E Balans VL '!D19/100/3.6*1000000+C31*'E Balans VL '!E19/100/3.6*1000000</f>
        <v>0.15308849958473211</v>
      </c>
      <c r="K9" s="33"/>
      <c r="L9" s="33"/>
      <c r="M9" s="33"/>
      <c r="N9" s="33">
        <f>C31*'E Balans VL '!Y19/100/3.6*1000000</f>
        <v>125.80293147313226</v>
      </c>
      <c r="O9" s="33"/>
      <c r="P9" s="33"/>
      <c r="R9" s="32"/>
    </row>
    <row r="10" spans="1:18">
      <c r="A10" s="6" t="s">
        <v>40</v>
      </c>
      <c r="B10" s="37">
        <f t="shared" si="0"/>
        <v>991.14549340661893</v>
      </c>
      <c r="C10" s="33"/>
      <c r="D10" s="37">
        <f>IF( ISERROR(IND_voed_gas_kWh/1000),0,IND_voed_gas_kWh/1000)*0.902</f>
        <v>8335.8284900000017</v>
      </c>
      <c r="E10" s="33">
        <f>C32*'E Balans VL '!I20/100/3.6*1000000</f>
        <v>9.0427996113520059</v>
      </c>
      <c r="F10" s="33">
        <f>C32*'E Balans VL '!L20/100/3.6*1000000+C32*'E Balans VL '!N20/100/3.6*1000000</f>
        <v>159.90276930326704</v>
      </c>
      <c r="G10" s="34"/>
      <c r="H10" s="33"/>
      <c r="I10" s="33"/>
      <c r="J10" s="40">
        <f>C32*'E Balans VL '!D20/100/3.6*1000000+C32*'E Balans VL '!E20/100/3.6*1000000</f>
        <v>4.0821869682888359</v>
      </c>
      <c r="K10" s="33"/>
      <c r="L10" s="33"/>
      <c r="M10" s="33"/>
      <c r="N10" s="33">
        <f>C32*'E Balans VL '!Y20/100/3.6*1000000</f>
        <v>14.499677028382521</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476.88740000000007</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119.94254799999999</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13876.644712265501</v>
      </c>
      <c r="C15" s="33"/>
      <c r="D15" s="37">
        <f>IF( ISERROR(IND_rest_gas_kWh/1000),0,IND_rest_gas_kWh/1000)*0.902</f>
        <v>0</v>
      </c>
      <c r="E15" s="33">
        <f>C37*'E Balans VL '!I15/100/3.6*1000000</f>
        <v>125.23343673173916</v>
      </c>
      <c r="F15" s="33">
        <f>C37*'E Balans VL '!L15/100/3.6*1000000+C37*'E Balans VL '!N15/100/3.6*1000000</f>
        <v>2774.0527053620262</v>
      </c>
      <c r="G15" s="34"/>
      <c r="H15" s="33"/>
      <c r="I15" s="33"/>
      <c r="J15" s="40">
        <f>C37*'E Balans VL '!D15/100/3.6*1000000+C37*'E Balans VL '!E15/100/3.6*1000000</f>
        <v>93.436336519673901</v>
      </c>
      <c r="K15" s="33"/>
      <c r="L15" s="33"/>
      <c r="M15" s="33"/>
      <c r="N15" s="33">
        <f>C37*'E Balans VL '!Y15/100/3.6*1000000</f>
        <v>249.72211285660543</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18554.189404335208</v>
      </c>
      <c r="C18" s="21">
        <f>C5+C16</f>
        <v>0</v>
      </c>
      <c r="D18" s="21">
        <f>MAX((D5+D16),0)</f>
        <v>15038.739320000001</v>
      </c>
      <c r="E18" s="21">
        <f>MAX((E5+E16),0)</f>
        <v>176.76219094740833</v>
      </c>
      <c r="F18" s="21">
        <f>MAX((F5+F16),0)</f>
        <v>4479.2517164062092</v>
      </c>
      <c r="G18" s="21"/>
      <c r="H18" s="21"/>
      <c r="I18" s="21"/>
      <c r="J18" s="21">
        <f>MAX((J5+J16),0)</f>
        <v>138.70940931971822</v>
      </c>
      <c r="K18" s="21"/>
      <c r="L18" s="21">
        <f>MAX((L5+L16),0)</f>
        <v>0</v>
      </c>
      <c r="M18" s="21"/>
      <c r="N18" s="21">
        <f>MAX((N5+N16),0)</f>
        <v>397.47971658374297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0.21673488319411641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4021.3400733101034</v>
      </c>
      <c r="C22" s="23">
        <f ca="1">C18*C20</f>
        <v>0</v>
      </c>
      <c r="D22" s="23">
        <f>D18*D20</f>
        <v>3037.8253426400001</v>
      </c>
      <c r="E22" s="23">
        <f>E18*E20</f>
        <v>40.125017345061693</v>
      </c>
      <c r="F22" s="23">
        <f>F18*F20</f>
        <v>1195.9602082804579</v>
      </c>
      <c r="G22" s="23"/>
      <c r="H22" s="23"/>
      <c r="I22" s="23"/>
      <c r="J22" s="23">
        <f>J18*J20</f>
        <v>49.10313089918025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1989.0213384363901</v>
      </c>
      <c r="C30" s="39">
        <f>IF(ISERROR(B30*3.6/1000000/'E Balans VL '!Z18*100),0,B30*3.6/1000000/'E Balans VL '!Z18*100)</f>
        <v>0.13241036509792092</v>
      </c>
      <c r="D30" s="233" t="s">
        <v>676</v>
      </c>
    </row>
    <row r="31" spans="1:18">
      <c r="A31" s="6" t="s">
        <v>32</v>
      </c>
      <c r="B31" s="37">
        <f>IF( ISERROR(IND_ander_ele_kWh/1000),0,IND_ander_ele_kWh/1000)</f>
        <v>1697.3778602267</v>
      </c>
      <c r="C31" s="39">
        <f>IF(ISERROR(B31*3.6/1000000/'E Balans VL '!Z19*100),0,B31*3.6/1000000/'E Balans VL '!Z19*100)</f>
        <v>7.5238033925602132E-2</v>
      </c>
      <c r="D31" s="233" t="s">
        <v>676</v>
      </c>
    </row>
    <row r="32" spans="1:18">
      <c r="A32" s="168" t="s">
        <v>40</v>
      </c>
      <c r="B32" s="37">
        <f>IF( ISERROR(IND_voed_ele_kWh/1000),0,IND_voed_ele_kWh/1000)</f>
        <v>991.14549340661893</v>
      </c>
      <c r="C32" s="39">
        <f>IF(ISERROR(B32*3.6/1000000/'E Balans VL '!Z20*100),0,B32*3.6/1000000/'E Balans VL '!Z20*100)</f>
        <v>3.3107102708215978E-2</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13876.644712265501</v>
      </c>
      <c r="C37" s="39">
        <f>IF(ISERROR(B37*3.6/1000000/'E Balans VL '!Z15*100),0,B37*3.6/1000000/'E Balans VL '!Z15*100)</f>
        <v>0.10321962967123437</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573.42082211782429</v>
      </c>
      <c r="C5" s="17">
        <f>'Eigen informatie GS &amp; warmtenet'!B60</f>
        <v>0</v>
      </c>
      <c r="D5" s="30">
        <f>IF(ISERROR(SUM(LB_lb_gas_kWh,LB_rest_gas_kWh)/1000),0,SUM(LB_lb_gas_kWh,LB_rest_gas_kWh)/1000)*0.902</f>
        <v>713.50725599999998</v>
      </c>
      <c r="E5" s="17">
        <f>B17*'E Balans VL '!I25/3.6*1000000/100</f>
        <v>5.1672492141750608</v>
      </c>
      <c r="F5" s="17">
        <f>B17*('E Balans VL '!L25/3.6*1000000+'E Balans VL '!N25/3.6*1000000)/100</f>
        <v>2148.6253092314441</v>
      </c>
      <c r="G5" s="18"/>
      <c r="H5" s="17"/>
      <c r="I5" s="17"/>
      <c r="J5" s="17">
        <f>('E Balans VL '!D25+'E Balans VL '!E25)/3.6*1000000*landbouw!B17/100</f>
        <v>58.027815596026429</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573.42082211782429</v>
      </c>
      <c r="C8" s="21">
        <f>C5+C6</f>
        <v>0</v>
      </c>
      <c r="D8" s="21">
        <f>MAX((D5+D6),0)</f>
        <v>713.50725599999998</v>
      </c>
      <c r="E8" s="21">
        <f>MAX((E5+E6),0)</f>
        <v>5.1672492141750608</v>
      </c>
      <c r="F8" s="21">
        <f>MAX((F5+F6),0)</f>
        <v>2148.6253092314441</v>
      </c>
      <c r="G8" s="21"/>
      <c r="H8" s="21"/>
      <c r="I8" s="21"/>
      <c r="J8" s="21">
        <f>MAX((J5+J6),0)</f>
        <v>58.027815596026429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0.21673488319411641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124.28029490278085</v>
      </c>
      <c r="C12" s="23">
        <f ca="1">C8*C10</f>
        <v>0</v>
      </c>
      <c r="D12" s="23">
        <f>D8*D10</f>
        <v>144.12846571200001</v>
      </c>
      <c r="E12" s="23">
        <f>E8*E10</f>
        <v>1.1729655716177387</v>
      </c>
      <c r="F12" s="23">
        <f>F8*F10</f>
        <v>573.68295756479563</v>
      </c>
      <c r="G12" s="23"/>
      <c r="H12" s="23"/>
      <c r="I12" s="23"/>
      <c r="J12" s="23">
        <f>J8*J10</f>
        <v>20.541846720993355</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8.8260533591346405E-2</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35.470152552884166</v>
      </c>
      <c r="C26" s="243">
        <f>B26*'GWP N2O_CH4'!B5</f>
        <v>744.87320361056743</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5.8120194644142442</v>
      </c>
      <c r="C27" s="243">
        <f>B27*'GWP N2O_CH4'!B5</f>
        <v>122.05240875269912</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0.49184250742375368</v>
      </c>
      <c r="C28" s="243">
        <f>B28*'GWP N2O_CH4'!B4</f>
        <v>152.47117730136364</v>
      </c>
      <c r="D28" s="50"/>
    </row>
    <row r="29" spans="1:4">
      <c r="A29" s="41" t="s">
        <v>266</v>
      </c>
      <c r="B29" s="243">
        <f>B34*'ha_N2O bodem landbouw'!B4</f>
        <v>1.7982488577439826</v>
      </c>
      <c r="C29" s="243">
        <f>B29*'GWP N2O_CH4'!B4</f>
        <v>557.4571459006346</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4.6688117428049747E-4</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9.0610008545278829E-6</v>
      </c>
      <c r="C5" s="431" t="s">
        <v>204</v>
      </c>
      <c r="D5" s="416">
        <f>SUM(D6:D11)</f>
        <v>2.7603590213922972E-5</v>
      </c>
      <c r="E5" s="416">
        <f>SUM(E6:E11)</f>
        <v>2.8671707835265805E-3</v>
      </c>
      <c r="F5" s="429" t="s">
        <v>204</v>
      </c>
      <c r="G5" s="416">
        <f>SUM(G6:G11)</f>
        <v>0.80093077068466556</v>
      </c>
      <c r="H5" s="416">
        <f>SUM(H6:H11)</f>
        <v>9.5506719935274362E-2</v>
      </c>
      <c r="I5" s="431" t="s">
        <v>204</v>
      </c>
      <c r="J5" s="431" t="s">
        <v>204</v>
      </c>
      <c r="K5" s="431" t="s">
        <v>204</v>
      </c>
      <c r="L5" s="431" t="s">
        <v>204</v>
      </c>
      <c r="M5" s="416">
        <f>SUM(M6:M11)</f>
        <v>3.8899139370733263E-2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6.9402033029303526E-6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2.1906591164481811E-5</v>
      </c>
      <c r="E6" s="419">
        <f>vkm_GW_PW*SUMIFS(TableVerdeelsleutelVkm[LPG],TableVerdeelsleutelVkm[Voertuigtype],"Lichte voertuigen")*SUMIFS(TableECFTransport[EnergieConsumptieFactor (PJ per km)],TableECFTransport[Index],CONCATENATE($A6,"_LPG_LPG"))</f>
        <v>2.2751848764296385E-3</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0.30369734851688129</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7.6275686589592676E-2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1.6593626070840559E-2</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7.9667511209556561E-7</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0.35912164432960936</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1.0566922209178765E-5</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1.5471148605943529E-2</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8.5224085355693934E-7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4.5625956245975559E-6</v>
      </c>
      <c r="E8" s="419">
        <f>vkm_NGW_PW*SUMIFS(TableVerdeelsleutelVkm[LPG],TableVerdeelsleutelVkm[Voertuigtype],"Lichte voertuigen")*SUMIFS(TableECFTransport[EnergieConsumptieFactor (PJ per km)],TableECFTransport[Index],CONCATENATE($A8,"_LPG_LPG"))</f>
        <v>4.4599436832165308E-4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5.6632301652862503E-2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1.5003971729508642E-2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3.130231902217609E-3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8.6334886682512714E-8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5.3907062927919379E-2</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1.3821972662995002E-6</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2.3223351281583156E-3</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3.6377083474648663E-7</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1.1344034248436021E-6</v>
      </c>
      <c r="E10" s="419">
        <f>vkm_SW_PW*SUMIFS(TableVerdeelsleutelVkm[LPG],TableVerdeelsleutelVkm[Voertuigtype],"Lichte voertuigen")*SUMIFS(TableECFTransport[EnergieConsumptieFactor (PJ per km)],TableECFTransport[Index],CONCATENATE($A10,"_LPG_LPG"))</f>
        <v>1.4599153877528897E-4</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1.8100765734410058E-2</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4.2148152116232582E-3</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9.7375326993037021E-4</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2.1775864516025103E-8</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9.4716475229829379E-3</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2.9728507431628291E-7</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4.0804439364287284E-4</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2.516944681813301</v>
      </c>
      <c r="C14" s="21"/>
      <c r="D14" s="21">
        <f t="shared" ref="D14:M14" si="0">((D5)*10^9/3600)+D12</f>
        <v>7.6676639483119367</v>
      </c>
      <c r="E14" s="21">
        <f t="shared" si="0"/>
        <v>796.43632875738342</v>
      </c>
      <c r="F14" s="21"/>
      <c r="G14" s="21">
        <f t="shared" si="0"/>
        <v>222480.76963462931</v>
      </c>
      <c r="H14" s="21">
        <f t="shared" si="0"/>
        <v>26529.6444264651</v>
      </c>
      <c r="I14" s="21"/>
      <c r="J14" s="21"/>
      <c r="K14" s="21"/>
      <c r="L14" s="21"/>
      <c r="M14" s="21">
        <f t="shared" si="0"/>
        <v>10805.31649187035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0.21673488319411641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0.54550971161885831</v>
      </c>
      <c r="C18" s="23"/>
      <c r="D18" s="23">
        <f t="shared" ref="D18:M18" si="1">D14*D16</f>
        <v>1.5488681175590113</v>
      </c>
      <c r="E18" s="23">
        <f t="shared" si="1"/>
        <v>180.79104662792605</v>
      </c>
      <c r="F18" s="23"/>
      <c r="G18" s="23">
        <f t="shared" si="1"/>
        <v>59402.365492446028</v>
      </c>
      <c r="H18" s="23">
        <f t="shared" si="1"/>
        <v>6605.88146218981</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2.8505545344729047E-5</v>
      </c>
      <c r="C50" s="313">
        <f t="shared" ref="C50:P50" si="2">SUM(C51:C52)</f>
        <v>0</v>
      </c>
      <c r="D50" s="313">
        <f t="shared" si="2"/>
        <v>0</v>
      </c>
      <c r="E50" s="313">
        <f t="shared" si="2"/>
        <v>0</v>
      </c>
      <c r="F50" s="313">
        <f t="shared" si="2"/>
        <v>0</v>
      </c>
      <c r="G50" s="313">
        <f t="shared" si="2"/>
        <v>6.1839918709013933E-3</v>
      </c>
      <c r="H50" s="313">
        <f t="shared" si="2"/>
        <v>0</v>
      </c>
      <c r="I50" s="313">
        <f t="shared" si="2"/>
        <v>0</v>
      </c>
      <c r="J50" s="313">
        <f t="shared" si="2"/>
        <v>0</v>
      </c>
      <c r="K50" s="313">
        <f t="shared" si="2"/>
        <v>0</v>
      </c>
      <c r="L50" s="313">
        <f t="shared" si="2"/>
        <v>0</v>
      </c>
      <c r="M50" s="313">
        <f t="shared" si="2"/>
        <v>2.6477477765923606E-4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2.8505545344729047E-5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6.1839918709013933E-3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2.6477477765923606E-4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7.9182070402025131</v>
      </c>
      <c r="C54" s="21">
        <f t="shared" ref="C54:P54" si="3">(C50)*10^9/3600</f>
        <v>0</v>
      </c>
      <c r="D54" s="21">
        <f t="shared" si="3"/>
        <v>0</v>
      </c>
      <c r="E54" s="21">
        <f t="shared" si="3"/>
        <v>0</v>
      </c>
      <c r="F54" s="21">
        <f t="shared" si="3"/>
        <v>0</v>
      </c>
      <c r="G54" s="21">
        <f t="shared" si="3"/>
        <v>1717.7755196948315</v>
      </c>
      <c r="H54" s="21">
        <f t="shared" si="3"/>
        <v>0</v>
      </c>
      <c r="I54" s="21">
        <f t="shared" si="3"/>
        <v>0</v>
      </c>
      <c r="J54" s="21">
        <f t="shared" si="3"/>
        <v>0</v>
      </c>
      <c r="K54" s="21">
        <f t="shared" si="3"/>
        <v>0</v>
      </c>
      <c r="L54" s="21">
        <f t="shared" si="3"/>
        <v>0</v>
      </c>
      <c r="M54" s="21">
        <f t="shared" si="3"/>
        <v>73.548549349787791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0.21673488319411641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1.7161516779651218</v>
      </c>
      <c r="C58" s="23">
        <f t="shared" ref="C58:P58" ca="1" si="4">C54*C56</f>
        <v>0</v>
      </c>
      <c r="D58" s="23">
        <f t="shared" si="4"/>
        <v>0</v>
      </c>
      <c r="E58" s="23">
        <f t="shared" si="4"/>
        <v>0</v>
      </c>
      <c r="F58" s="23">
        <f t="shared" si="4"/>
        <v>0</v>
      </c>
      <c r="G58" s="23">
        <f t="shared" si="4"/>
        <v>458.64606375852003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1571.2941235008332</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1571.2941235008332</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34220.316499708191</v>
      </c>
      <c r="D10" s="635">
        <f ca="1">tertiair!C16</f>
        <v>0</v>
      </c>
      <c r="E10" s="635">
        <f ca="1">tertiair!D16</f>
        <v>36835.005570000001</v>
      </c>
      <c r="F10" s="635">
        <f>tertiair!E16</f>
        <v>695.74772764186332</v>
      </c>
      <c r="G10" s="635">
        <f ca="1">tertiair!F16</f>
        <v>5693.3900090796515</v>
      </c>
      <c r="H10" s="635">
        <f>tertiair!G16</f>
        <v>0</v>
      </c>
      <c r="I10" s="635">
        <f>tertiair!H16</f>
        <v>0</v>
      </c>
      <c r="J10" s="635">
        <f>tertiair!I16</f>
        <v>0</v>
      </c>
      <c r="K10" s="635">
        <f>tertiair!J16</f>
        <v>0</v>
      </c>
      <c r="L10" s="635">
        <f>tertiair!K16</f>
        <v>0</v>
      </c>
      <c r="M10" s="635">
        <f ca="1">tertiair!L16</f>
        <v>0</v>
      </c>
      <c r="N10" s="635">
        <f>tertiair!M16</f>
        <v>0</v>
      </c>
      <c r="O10" s="635">
        <f ca="1">tertiair!N16</f>
        <v>810.03173138278612</v>
      </c>
      <c r="P10" s="635">
        <f>tertiair!O16</f>
        <v>0</v>
      </c>
      <c r="Q10" s="636">
        <f>tertiair!P16</f>
        <v>38.133333333333333</v>
      </c>
      <c r="R10" s="638">
        <f ca="1">SUM(C10:Q10)</f>
        <v>78292.624871145832</v>
      </c>
      <c r="S10" s="67"/>
    </row>
    <row r="11" spans="1:19" s="441" customFormat="1">
      <c r="A11" s="749" t="s">
        <v>214</v>
      </c>
      <c r="B11" s="754"/>
      <c r="C11" s="635">
        <f>huishoudens!B8</f>
        <v>26706.875983321519</v>
      </c>
      <c r="D11" s="635">
        <f>huishoudens!C8</f>
        <v>0</v>
      </c>
      <c r="E11" s="635">
        <f>huishoudens!D8</f>
        <v>81093.684011999998</v>
      </c>
      <c r="F11" s="635">
        <f>huishoudens!E8</f>
        <v>626.66761703786256</v>
      </c>
      <c r="G11" s="635">
        <f>huishoudens!F8</f>
        <v>21390.92037567584</v>
      </c>
      <c r="H11" s="635">
        <f>huishoudens!G8</f>
        <v>0</v>
      </c>
      <c r="I11" s="635">
        <f>huishoudens!H8</f>
        <v>0</v>
      </c>
      <c r="J11" s="635">
        <f>huishoudens!I8</f>
        <v>0</v>
      </c>
      <c r="K11" s="635">
        <f>huishoudens!J8</f>
        <v>481.66929473395925</v>
      </c>
      <c r="L11" s="635">
        <f>huishoudens!K8</f>
        <v>0</v>
      </c>
      <c r="M11" s="635">
        <f>huishoudens!L8</f>
        <v>0</v>
      </c>
      <c r="N11" s="635">
        <f>huishoudens!M8</f>
        <v>0</v>
      </c>
      <c r="O11" s="635">
        <f>huishoudens!N8</f>
        <v>6655.6393464296916</v>
      </c>
      <c r="P11" s="635">
        <f>huishoudens!O8</f>
        <v>46.9</v>
      </c>
      <c r="Q11" s="636">
        <f>huishoudens!P8</f>
        <v>95.333333333333343</v>
      </c>
      <c r="R11" s="638">
        <f>SUM(C11:Q11)</f>
        <v>137097.6899625322</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18554.189404335208</v>
      </c>
      <c r="D13" s="635">
        <f>industrie!C18</f>
        <v>0</v>
      </c>
      <c r="E13" s="635">
        <f>industrie!D18</f>
        <v>15038.739320000001</v>
      </c>
      <c r="F13" s="635">
        <f>industrie!E18</f>
        <v>176.76219094740833</v>
      </c>
      <c r="G13" s="635">
        <f>industrie!F18</f>
        <v>4479.2517164062092</v>
      </c>
      <c r="H13" s="635">
        <f>industrie!G18</f>
        <v>0</v>
      </c>
      <c r="I13" s="635">
        <f>industrie!H18</f>
        <v>0</v>
      </c>
      <c r="J13" s="635">
        <f>industrie!I18</f>
        <v>0</v>
      </c>
      <c r="K13" s="635">
        <f>industrie!J18</f>
        <v>138.70940931971822</v>
      </c>
      <c r="L13" s="635">
        <f>industrie!K18</f>
        <v>0</v>
      </c>
      <c r="M13" s="635">
        <f>industrie!L18</f>
        <v>0</v>
      </c>
      <c r="N13" s="635">
        <f>industrie!M18</f>
        <v>0</v>
      </c>
      <c r="O13" s="635">
        <f>industrie!N18</f>
        <v>397.47971658374297</v>
      </c>
      <c r="P13" s="635">
        <f>industrie!O18</f>
        <v>0</v>
      </c>
      <c r="Q13" s="636">
        <f>industrie!P18</f>
        <v>0</v>
      </c>
      <c r="R13" s="638">
        <f>SUM(C13:Q13)</f>
        <v>38785.131757592288</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79481.381887364914</v>
      </c>
      <c r="D16" s="668">
        <f t="shared" ref="D16:R16" ca="1" si="0">SUM(D9:D15)</f>
        <v>0</v>
      </c>
      <c r="E16" s="668">
        <f t="shared" ca="1" si="0"/>
        <v>132967.42890199999</v>
      </c>
      <c r="F16" s="668">
        <f t="shared" si="0"/>
        <v>1499.1775356271341</v>
      </c>
      <c r="G16" s="668">
        <f t="shared" ca="1" si="0"/>
        <v>31563.5621011617</v>
      </c>
      <c r="H16" s="668">
        <f t="shared" si="0"/>
        <v>0</v>
      </c>
      <c r="I16" s="668">
        <f t="shared" si="0"/>
        <v>0</v>
      </c>
      <c r="J16" s="668">
        <f t="shared" si="0"/>
        <v>0</v>
      </c>
      <c r="K16" s="668">
        <f t="shared" si="0"/>
        <v>620.37870405367744</v>
      </c>
      <c r="L16" s="668">
        <f t="shared" si="0"/>
        <v>0</v>
      </c>
      <c r="M16" s="668">
        <f t="shared" ca="1" si="0"/>
        <v>0</v>
      </c>
      <c r="N16" s="668">
        <f t="shared" si="0"/>
        <v>0</v>
      </c>
      <c r="O16" s="668">
        <f t="shared" ca="1" si="0"/>
        <v>7863.1507943962206</v>
      </c>
      <c r="P16" s="668">
        <f t="shared" si="0"/>
        <v>46.9</v>
      </c>
      <c r="Q16" s="668">
        <f t="shared" si="0"/>
        <v>133.46666666666667</v>
      </c>
      <c r="R16" s="668">
        <f t="shared" ca="1" si="0"/>
        <v>254175.4465912703</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7.9182070402025131</v>
      </c>
      <c r="D19" s="635">
        <f>transport!C54</f>
        <v>0</v>
      </c>
      <c r="E19" s="635">
        <f>transport!D54</f>
        <v>0</v>
      </c>
      <c r="F19" s="635">
        <f>transport!E54</f>
        <v>0</v>
      </c>
      <c r="G19" s="635">
        <f>transport!F54</f>
        <v>0</v>
      </c>
      <c r="H19" s="635">
        <f>transport!G54</f>
        <v>1717.7755196948315</v>
      </c>
      <c r="I19" s="635">
        <f>transport!H54</f>
        <v>0</v>
      </c>
      <c r="J19" s="635">
        <f>transport!I54</f>
        <v>0</v>
      </c>
      <c r="K19" s="635">
        <f>transport!J54</f>
        <v>0</v>
      </c>
      <c r="L19" s="635">
        <f>transport!K54</f>
        <v>0</v>
      </c>
      <c r="M19" s="635">
        <f>transport!L54</f>
        <v>0</v>
      </c>
      <c r="N19" s="635">
        <f>transport!M54</f>
        <v>73.548549349787791</v>
      </c>
      <c r="O19" s="635">
        <f>transport!N54</f>
        <v>0</v>
      </c>
      <c r="P19" s="635">
        <f>transport!O54</f>
        <v>0</v>
      </c>
      <c r="Q19" s="636">
        <f>transport!P54</f>
        <v>0</v>
      </c>
      <c r="R19" s="638">
        <f>SUM(C19:Q19)</f>
        <v>1799.2422760848219</v>
      </c>
      <c r="S19" s="67"/>
    </row>
    <row r="20" spans="1:19" s="441" customFormat="1">
      <c r="A20" s="749" t="s">
        <v>296</v>
      </c>
      <c r="B20" s="754"/>
      <c r="C20" s="635">
        <f>transport!B14</f>
        <v>2.516944681813301</v>
      </c>
      <c r="D20" s="635">
        <f>transport!C14</f>
        <v>0</v>
      </c>
      <c r="E20" s="635">
        <f>transport!D14</f>
        <v>7.6676639483119367</v>
      </c>
      <c r="F20" s="635">
        <f>transport!E14</f>
        <v>796.43632875738342</v>
      </c>
      <c r="G20" s="635">
        <f>transport!F14</f>
        <v>0</v>
      </c>
      <c r="H20" s="635">
        <f>transport!G14</f>
        <v>222480.76963462931</v>
      </c>
      <c r="I20" s="635">
        <f>transport!H14</f>
        <v>26529.6444264651</v>
      </c>
      <c r="J20" s="635">
        <f>transport!I14</f>
        <v>0</v>
      </c>
      <c r="K20" s="635">
        <f>transport!J14</f>
        <v>0</v>
      </c>
      <c r="L20" s="635">
        <f>transport!K14</f>
        <v>0</v>
      </c>
      <c r="M20" s="635">
        <f>transport!L14</f>
        <v>0</v>
      </c>
      <c r="N20" s="635">
        <f>transport!M14</f>
        <v>10805.31649187035</v>
      </c>
      <c r="O20" s="635">
        <f>transport!N14</f>
        <v>0</v>
      </c>
      <c r="P20" s="635">
        <f>transport!O14</f>
        <v>0</v>
      </c>
      <c r="Q20" s="636">
        <f>transport!P14</f>
        <v>0</v>
      </c>
      <c r="R20" s="638">
        <f>SUM(C20:Q20)</f>
        <v>260622.35149035227</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10.435151722015814</v>
      </c>
      <c r="D22" s="752">
        <f t="shared" ref="D22:R22" si="1">SUM(D18:D21)</f>
        <v>0</v>
      </c>
      <c r="E22" s="752">
        <f t="shared" si="1"/>
        <v>7.6676639483119367</v>
      </c>
      <c r="F22" s="752">
        <f t="shared" si="1"/>
        <v>796.43632875738342</v>
      </c>
      <c r="G22" s="752">
        <f t="shared" si="1"/>
        <v>0</v>
      </c>
      <c r="H22" s="752">
        <f t="shared" si="1"/>
        <v>224198.54515432415</v>
      </c>
      <c r="I22" s="752">
        <f t="shared" si="1"/>
        <v>26529.6444264651</v>
      </c>
      <c r="J22" s="752">
        <f t="shared" si="1"/>
        <v>0</v>
      </c>
      <c r="K22" s="752">
        <f t="shared" si="1"/>
        <v>0</v>
      </c>
      <c r="L22" s="752">
        <f t="shared" si="1"/>
        <v>0</v>
      </c>
      <c r="M22" s="752">
        <f t="shared" si="1"/>
        <v>0</v>
      </c>
      <c r="N22" s="752">
        <f t="shared" si="1"/>
        <v>10878.865041220137</v>
      </c>
      <c r="O22" s="752">
        <f t="shared" si="1"/>
        <v>0</v>
      </c>
      <c r="P22" s="752">
        <f t="shared" si="1"/>
        <v>0</v>
      </c>
      <c r="Q22" s="752">
        <f t="shared" si="1"/>
        <v>0</v>
      </c>
      <c r="R22" s="752">
        <f t="shared" si="1"/>
        <v>262421.59376643709</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573.42082211782429</v>
      </c>
      <c r="D24" s="635">
        <f>+landbouw!C8</f>
        <v>0</v>
      </c>
      <c r="E24" s="635">
        <f>+landbouw!D8</f>
        <v>713.50725599999998</v>
      </c>
      <c r="F24" s="635">
        <f>+landbouw!E8</f>
        <v>5.1672492141750608</v>
      </c>
      <c r="G24" s="635">
        <f>+landbouw!F8</f>
        <v>2148.6253092314441</v>
      </c>
      <c r="H24" s="635">
        <f>+landbouw!G8</f>
        <v>0</v>
      </c>
      <c r="I24" s="635">
        <f>+landbouw!H8</f>
        <v>0</v>
      </c>
      <c r="J24" s="635">
        <f>+landbouw!I8</f>
        <v>0</v>
      </c>
      <c r="K24" s="635">
        <f>+landbouw!J8</f>
        <v>58.027815596026429</v>
      </c>
      <c r="L24" s="635">
        <f>+landbouw!K8</f>
        <v>0</v>
      </c>
      <c r="M24" s="635">
        <f>+landbouw!L8</f>
        <v>0</v>
      </c>
      <c r="N24" s="635">
        <f>+landbouw!M8</f>
        <v>0</v>
      </c>
      <c r="O24" s="635">
        <f>+landbouw!N8</f>
        <v>0</v>
      </c>
      <c r="P24" s="635">
        <f>+landbouw!O8</f>
        <v>0</v>
      </c>
      <c r="Q24" s="636">
        <f>+landbouw!P8</f>
        <v>0</v>
      </c>
      <c r="R24" s="638">
        <f>SUM(C24:Q24)</f>
        <v>3498.7484521594702</v>
      </c>
      <c r="S24" s="67"/>
    </row>
    <row r="25" spans="1:19" s="441" customFormat="1" ht="15" thickBot="1">
      <c r="A25" s="771" t="s">
        <v>864</v>
      </c>
      <c r="B25" s="923"/>
      <c r="C25" s="924">
        <f>IF(Onbekend_ele_kWh="---",0,Onbekend_ele_kWh)/1000+IF(REST_rest_ele_kWh="---",0,REST_rest_ele_kWh)/1000</f>
        <v>1352.46230931682</v>
      </c>
      <c r="D25" s="924"/>
      <c r="E25" s="924">
        <f>IF(onbekend_gas_kWh="---",0,onbekend_gas_kWh)/1000+IF(REST_rest_gas_kWh="---",0,REST_rest_gas_kWh)/1000</f>
        <v>2495.8560000000002</v>
      </c>
      <c r="F25" s="924"/>
      <c r="G25" s="924"/>
      <c r="H25" s="924"/>
      <c r="I25" s="924"/>
      <c r="J25" s="924"/>
      <c r="K25" s="924"/>
      <c r="L25" s="924"/>
      <c r="M25" s="924"/>
      <c r="N25" s="924"/>
      <c r="O25" s="924"/>
      <c r="P25" s="924"/>
      <c r="Q25" s="925"/>
      <c r="R25" s="638">
        <f>SUM(C25:Q25)</f>
        <v>3848.31830931682</v>
      </c>
      <c r="S25" s="67"/>
    </row>
    <row r="26" spans="1:19" s="441" customFormat="1" ht="15.75" thickBot="1">
      <c r="A26" s="641" t="s">
        <v>865</v>
      </c>
      <c r="B26" s="757"/>
      <c r="C26" s="752">
        <f>SUM(C24:C25)</f>
        <v>1925.8831314346444</v>
      </c>
      <c r="D26" s="752">
        <f t="shared" ref="D26:R26" si="2">SUM(D24:D25)</f>
        <v>0</v>
      </c>
      <c r="E26" s="752">
        <f t="shared" si="2"/>
        <v>3209.3632560000001</v>
      </c>
      <c r="F26" s="752">
        <f t="shared" si="2"/>
        <v>5.1672492141750608</v>
      </c>
      <c r="G26" s="752">
        <f t="shared" si="2"/>
        <v>2148.6253092314441</v>
      </c>
      <c r="H26" s="752">
        <f t="shared" si="2"/>
        <v>0</v>
      </c>
      <c r="I26" s="752">
        <f t="shared" si="2"/>
        <v>0</v>
      </c>
      <c r="J26" s="752">
        <f t="shared" si="2"/>
        <v>0</v>
      </c>
      <c r="K26" s="752">
        <f t="shared" si="2"/>
        <v>58.027815596026429</v>
      </c>
      <c r="L26" s="752">
        <f t="shared" si="2"/>
        <v>0</v>
      </c>
      <c r="M26" s="752">
        <f t="shared" si="2"/>
        <v>0</v>
      </c>
      <c r="N26" s="752">
        <f t="shared" si="2"/>
        <v>0</v>
      </c>
      <c r="O26" s="752">
        <f t="shared" si="2"/>
        <v>0</v>
      </c>
      <c r="P26" s="752">
        <f t="shared" si="2"/>
        <v>0</v>
      </c>
      <c r="Q26" s="752">
        <f t="shared" si="2"/>
        <v>0</v>
      </c>
      <c r="R26" s="752">
        <f t="shared" si="2"/>
        <v>7347.0667614762897</v>
      </c>
      <c r="S26" s="67"/>
    </row>
    <row r="27" spans="1:19" s="441" customFormat="1" ht="17.25" thickTop="1" thickBot="1">
      <c r="A27" s="642" t="s">
        <v>109</v>
      </c>
      <c r="B27" s="744"/>
      <c r="C27" s="643">
        <f ca="1">C22+C16+C26</f>
        <v>81417.700170521581</v>
      </c>
      <c r="D27" s="643">
        <f t="shared" ref="D27:R27" ca="1" si="3">D22+D16+D26</f>
        <v>0</v>
      </c>
      <c r="E27" s="643">
        <f t="shared" ca="1" si="3"/>
        <v>136184.45982194832</v>
      </c>
      <c r="F27" s="643">
        <f t="shared" si="3"/>
        <v>2300.7811135986926</v>
      </c>
      <c r="G27" s="643">
        <f t="shared" ca="1" si="3"/>
        <v>33712.187410393148</v>
      </c>
      <c r="H27" s="643">
        <f t="shared" si="3"/>
        <v>224198.54515432415</v>
      </c>
      <c r="I27" s="643">
        <f t="shared" si="3"/>
        <v>26529.6444264651</v>
      </c>
      <c r="J27" s="643">
        <f t="shared" si="3"/>
        <v>0</v>
      </c>
      <c r="K27" s="643">
        <f t="shared" si="3"/>
        <v>678.40651964970391</v>
      </c>
      <c r="L27" s="643">
        <f t="shared" si="3"/>
        <v>0</v>
      </c>
      <c r="M27" s="643">
        <f t="shared" ca="1" si="3"/>
        <v>0</v>
      </c>
      <c r="N27" s="643">
        <f t="shared" si="3"/>
        <v>10878.865041220137</v>
      </c>
      <c r="O27" s="643">
        <f t="shared" ca="1" si="3"/>
        <v>7863.1507943962206</v>
      </c>
      <c r="P27" s="643">
        <f t="shared" si="3"/>
        <v>46.9</v>
      </c>
      <c r="Q27" s="643">
        <f t="shared" si="3"/>
        <v>133.46666666666667</v>
      </c>
      <c r="R27" s="643">
        <f t="shared" ca="1" si="3"/>
        <v>523944.1071191837</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7416.7362994299492</v>
      </c>
      <c r="D40" s="635">
        <f ca="1">tertiair!C20</f>
        <v>0</v>
      </c>
      <c r="E40" s="635">
        <f ca="1">tertiair!D20</f>
        <v>7440.6711251400011</v>
      </c>
      <c r="F40" s="635">
        <f>tertiair!E20</f>
        <v>157.93473417470298</v>
      </c>
      <c r="G40" s="635">
        <f ca="1">tertiair!F20</f>
        <v>1520.1351324242671</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16535.477291168922</v>
      </c>
    </row>
    <row r="41" spans="1:18">
      <c r="A41" s="762" t="s">
        <v>214</v>
      </c>
      <c r="B41" s="769"/>
      <c r="C41" s="635">
        <f ca="1">huishoudens!B12</f>
        <v>5788.311646724942</v>
      </c>
      <c r="D41" s="635">
        <f ca="1">huishoudens!C12</f>
        <v>0</v>
      </c>
      <c r="E41" s="635">
        <f>huishoudens!D12</f>
        <v>16380.924170424001</v>
      </c>
      <c r="F41" s="635">
        <f>huishoudens!E12</f>
        <v>142.2535490675948</v>
      </c>
      <c r="G41" s="635">
        <f>huishoudens!F12</f>
        <v>5711.3757403054497</v>
      </c>
      <c r="H41" s="635">
        <f>huishoudens!G12</f>
        <v>0</v>
      </c>
      <c r="I41" s="635">
        <f>huishoudens!H12</f>
        <v>0</v>
      </c>
      <c r="J41" s="635">
        <f>huishoudens!I12</f>
        <v>0</v>
      </c>
      <c r="K41" s="635">
        <f>huishoudens!J12</f>
        <v>170.51093033582157</v>
      </c>
      <c r="L41" s="635">
        <f>huishoudens!K12</f>
        <v>0</v>
      </c>
      <c r="M41" s="635">
        <f>huishoudens!L12</f>
        <v>0</v>
      </c>
      <c r="N41" s="635">
        <f>huishoudens!M12</f>
        <v>0</v>
      </c>
      <c r="O41" s="635">
        <f>huishoudens!N12</f>
        <v>0</v>
      </c>
      <c r="P41" s="635">
        <f>huishoudens!O12</f>
        <v>0</v>
      </c>
      <c r="Q41" s="710">
        <f>huishoudens!P12</f>
        <v>0</v>
      </c>
      <c r="R41" s="790">
        <f t="shared" ca="1" si="4"/>
        <v>28193.376036857811</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4021.3400733101034</v>
      </c>
      <c r="D43" s="635">
        <f ca="1">industrie!C22</f>
        <v>0</v>
      </c>
      <c r="E43" s="635">
        <f>industrie!D22</f>
        <v>3037.8253426400001</v>
      </c>
      <c r="F43" s="635">
        <f>industrie!E22</f>
        <v>40.125017345061693</v>
      </c>
      <c r="G43" s="635">
        <f>industrie!F22</f>
        <v>1195.9602082804579</v>
      </c>
      <c r="H43" s="635">
        <f>industrie!G22</f>
        <v>0</v>
      </c>
      <c r="I43" s="635">
        <f>industrie!H22</f>
        <v>0</v>
      </c>
      <c r="J43" s="635">
        <f>industrie!I22</f>
        <v>0</v>
      </c>
      <c r="K43" s="635">
        <f>industrie!J22</f>
        <v>49.10313089918025</v>
      </c>
      <c r="L43" s="635">
        <f>industrie!K22</f>
        <v>0</v>
      </c>
      <c r="M43" s="635">
        <f>industrie!L22</f>
        <v>0</v>
      </c>
      <c r="N43" s="635">
        <f>industrie!M22</f>
        <v>0</v>
      </c>
      <c r="O43" s="635">
        <f>industrie!N22</f>
        <v>0</v>
      </c>
      <c r="P43" s="635">
        <f>industrie!O22</f>
        <v>0</v>
      </c>
      <c r="Q43" s="710">
        <f>industrie!P22</f>
        <v>0</v>
      </c>
      <c r="R43" s="789">
        <f t="shared" ca="1" si="4"/>
        <v>8344.3537724748039</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17226.388019464994</v>
      </c>
      <c r="D46" s="668">
        <f t="shared" ref="D46:Q46" ca="1" si="5">SUM(D39:D45)</f>
        <v>0</v>
      </c>
      <c r="E46" s="668">
        <f t="shared" ca="1" si="5"/>
        <v>26859.420638204003</v>
      </c>
      <c r="F46" s="668">
        <f t="shared" si="5"/>
        <v>340.31330058735944</v>
      </c>
      <c r="G46" s="668">
        <f t="shared" ca="1" si="5"/>
        <v>8427.4710810101751</v>
      </c>
      <c r="H46" s="668">
        <f t="shared" si="5"/>
        <v>0</v>
      </c>
      <c r="I46" s="668">
        <f t="shared" si="5"/>
        <v>0</v>
      </c>
      <c r="J46" s="668">
        <f t="shared" si="5"/>
        <v>0</v>
      </c>
      <c r="K46" s="668">
        <f t="shared" si="5"/>
        <v>219.61406123500183</v>
      </c>
      <c r="L46" s="668">
        <f t="shared" si="5"/>
        <v>0</v>
      </c>
      <c r="M46" s="668">
        <f t="shared" ca="1" si="5"/>
        <v>0</v>
      </c>
      <c r="N46" s="668">
        <f t="shared" si="5"/>
        <v>0</v>
      </c>
      <c r="O46" s="668">
        <f t="shared" ca="1" si="5"/>
        <v>0</v>
      </c>
      <c r="P46" s="668">
        <f t="shared" si="5"/>
        <v>0</v>
      </c>
      <c r="Q46" s="668">
        <f t="shared" si="5"/>
        <v>0</v>
      </c>
      <c r="R46" s="668">
        <f ca="1">SUM(R39:R45)</f>
        <v>53073.207100501531</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1.7161516779651218</v>
      </c>
      <c r="D49" s="635">
        <f ca="1">transport!C58</f>
        <v>0</v>
      </c>
      <c r="E49" s="635">
        <f>transport!D58</f>
        <v>0</v>
      </c>
      <c r="F49" s="635">
        <f>transport!E58</f>
        <v>0</v>
      </c>
      <c r="G49" s="635">
        <f>transport!F58</f>
        <v>0</v>
      </c>
      <c r="H49" s="635">
        <f>transport!G58</f>
        <v>458.64606375852003</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460.36221543648514</v>
      </c>
    </row>
    <row r="50" spans="1:18">
      <c r="A50" s="765" t="s">
        <v>296</v>
      </c>
      <c r="B50" s="775"/>
      <c r="C50" s="930">
        <f ca="1">transport!B18</f>
        <v>0.54550971161885831</v>
      </c>
      <c r="D50" s="930">
        <f>transport!C18</f>
        <v>0</v>
      </c>
      <c r="E50" s="930">
        <f>transport!D18</f>
        <v>1.5488681175590113</v>
      </c>
      <c r="F50" s="930">
        <f>transport!E18</f>
        <v>180.79104662792605</v>
      </c>
      <c r="G50" s="930">
        <f>transport!F18</f>
        <v>0</v>
      </c>
      <c r="H50" s="930">
        <f>transport!G18</f>
        <v>59402.365492446028</v>
      </c>
      <c r="I50" s="930">
        <f>transport!H18</f>
        <v>6605.88146218981</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66191.132379092945</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2.2616613895839803</v>
      </c>
      <c r="D52" s="668">
        <f t="shared" ref="D52:Q52" ca="1" si="6">SUM(D48:D51)</f>
        <v>0</v>
      </c>
      <c r="E52" s="668">
        <f t="shared" si="6"/>
        <v>1.5488681175590113</v>
      </c>
      <c r="F52" s="668">
        <f t="shared" si="6"/>
        <v>180.79104662792605</v>
      </c>
      <c r="G52" s="668">
        <f t="shared" si="6"/>
        <v>0</v>
      </c>
      <c r="H52" s="668">
        <f t="shared" si="6"/>
        <v>59861.011556204547</v>
      </c>
      <c r="I52" s="668">
        <f t="shared" si="6"/>
        <v>6605.88146218981</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66651.494594529431</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124.28029490278085</v>
      </c>
      <c r="D54" s="930">
        <f ca="1">+landbouw!C12</f>
        <v>0</v>
      </c>
      <c r="E54" s="930">
        <f>+landbouw!D12</f>
        <v>144.12846571200001</v>
      </c>
      <c r="F54" s="930">
        <f>+landbouw!E12</f>
        <v>1.1729655716177387</v>
      </c>
      <c r="G54" s="930">
        <f>+landbouw!F12</f>
        <v>573.68295756479563</v>
      </c>
      <c r="H54" s="930">
        <f>+landbouw!G12</f>
        <v>0</v>
      </c>
      <c r="I54" s="930">
        <f>+landbouw!H12</f>
        <v>0</v>
      </c>
      <c r="J54" s="930">
        <f>+landbouw!I12</f>
        <v>0</v>
      </c>
      <c r="K54" s="930">
        <f>+landbouw!J12</f>
        <v>20.541846720993355</v>
      </c>
      <c r="L54" s="930">
        <f>+landbouw!K12</f>
        <v>0</v>
      </c>
      <c r="M54" s="930">
        <f>+landbouw!L12</f>
        <v>0</v>
      </c>
      <c r="N54" s="930">
        <f>+landbouw!M12</f>
        <v>0</v>
      </c>
      <c r="O54" s="930">
        <f>+landbouw!N12</f>
        <v>0</v>
      </c>
      <c r="P54" s="930">
        <f>+landbouw!O12</f>
        <v>0</v>
      </c>
      <c r="Q54" s="931">
        <f>+landbouw!P12</f>
        <v>0</v>
      </c>
      <c r="R54" s="667">
        <f ca="1">SUM(C54:Q54)</f>
        <v>863.80653047218766</v>
      </c>
    </row>
    <row r="55" spans="1:18" ht="15" thickBot="1">
      <c r="A55" s="765" t="s">
        <v>864</v>
      </c>
      <c r="B55" s="775"/>
      <c r="C55" s="930">
        <f ca="1">C25*'EF ele_warmte'!B12</f>
        <v>293.12576063422591</v>
      </c>
      <c r="D55" s="930"/>
      <c r="E55" s="930">
        <f>E25*EF_CO2_aardgas</f>
        <v>504.16291200000006</v>
      </c>
      <c r="F55" s="930"/>
      <c r="G55" s="930"/>
      <c r="H55" s="930"/>
      <c r="I55" s="930"/>
      <c r="J55" s="930"/>
      <c r="K55" s="930"/>
      <c r="L55" s="930"/>
      <c r="M55" s="930"/>
      <c r="N55" s="930"/>
      <c r="O55" s="930"/>
      <c r="P55" s="930"/>
      <c r="Q55" s="931"/>
      <c r="R55" s="667">
        <f ca="1">SUM(C55:Q55)</f>
        <v>797.28867263422603</v>
      </c>
    </row>
    <row r="56" spans="1:18" ht="15.75" thickBot="1">
      <c r="A56" s="763" t="s">
        <v>865</v>
      </c>
      <c r="B56" s="776"/>
      <c r="C56" s="668">
        <f ca="1">SUM(C54:C55)</f>
        <v>417.40605553700675</v>
      </c>
      <c r="D56" s="668">
        <f t="shared" ref="D56:Q56" ca="1" si="7">SUM(D54:D55)</f>
        <v>0</v>
      </c>
      <c r="E56" s="668">
        <f t="shared" si="7"/>
        <v>648.2913777120001</v>
      </c>
      <c r="F56" s="668">
        <f t="shared" si="7"/>
        <v>1.1729655716177387</v>
      </c>
      <c r="G56" s="668">
        <f t="shared" si="7"/>
        <v>573.68295756479563</v>
      </c>
      <c r="H56" s="668">
        <f t="shared" si="7"/>
        <v>0</v>
      </c>
      <c r="I56" s="668">
        <f t="shared" si="7"/>
        <v>0</v>
      </c>
      <c r="J56" s="668">
        <f t="shared" si="7"/>
        <v>0</v>
      </c>
      <c r="K56" s="668">
        <f t="shared" si="7"/>
        <v>20.541846720993355</v>
      </c>
      <c r="L56" s="668">
        <f t="shared" si="7"/>
        <v>0</v>
      </c>
      <c r="M56" s="668">
        <f t="shared" si="7"/>
        <v>0</v>
      </c>
      <c r="N56" s="668">
        <f t="shared" si="7"/>
        <v>0</v>
      </c>
      <c r="O56" s="668">
        <f t="shared" si="7"/>
        <v>0</v>
      </c>
      <c r="P56" s="668">
        <f t="shared" si="7"/>
        <v>0</v>
      </c>
      <c r="Q56" s="669">
        <f t="shared" si="7"/>
        <v>0</v>
      </c>
      <c r="R56" s="670">
        <f ca="1">SUM(R54:R55)</f>
        <v>1661.0952031064137</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17646.055736391583</v>
      </c>
      <c r="D61" s="676">
        <f t="shared" ref="D61:Q61" ca="1" si="8">D46+D52+D56</f>
        <v>0</v>
      </c>
      <c r="E61" s="676">
        <f t="shared" ca="1" si="8"/>
        <v>27509.260884033563</v>
      </c>
      <c r="F61" s="676">
        <f t="shared" si="8"/>
        <v>522.27731278690328</v>
      </c>
      <c r="G61" s="676">
        <f t="shared" ca="1" si="8"/>
        <v>9001.1540385749704</v>
      </c>
      <c r="H61" s="676">
        <f t="shared" si="8"/>
        <v>59861.011556204547</v>
      </c>
      <c r="I61" s="676">
        <f t="shared" si="8"/>
        <v>6605.88146218981</v>
      </c>
      <c r="J61" s="676">
        <f t="shared" si="8"/>
        <v>0</v>
      </c>
      <c r="K61" s="676">
        <f t="shared" si="8"/>
        <v>240.15590795599519</v>
      </c>
      <c r="L61" s="676">
        <f t="shared" si="8"/>
        <v>0</v>
      </c>
      <c r="M61" s="676">
        <f t="shared" ca="1" si="8"/>
        <v>0</v>
      </c>
      <c r="N61" s="676">
        <f t="shared" si="8"/>
        <v>0</v>
      </c>
      <c r="O61" s="676">
        <f t="shared" ca="1" si="8"/>
        <v>0</v>
      </c>
      <c r="P61" s="676">
        <f t="shared" si="8"/>
        <v>0</v>
      </c>
      <c r="Q61" s="676">
        <f t="shared" si="8"/>
        <v>0</v>
      </c>
      <c r="R61" s="676">
        <f ca="1">R46+R52+R56</f>
        <v>121385.79689813737</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0.21673488319411638</v>
      </c>
      <c r="D63" s="720">
        <f t="shared" ca="1" si="9"/>
        <v>0</v>
      </c>
      <c r="E63" s="932">
        <f t="shared" ca="1" si="9"/>
        <v>0.20200000000000001</v>
      </c>
      <c r="F63" s="720">
        <f t="shared" si="9"/>
        <v>0.22700000000000004</v>
      </c>
      <c r="G63" s="720">
        <f t="shared" ca="1" si="9"/>
        <v>0.26700000000000002</v>
      </c>
      <c r="H63" s="720">
        <f t="shared" si="9"/>
        <v>0.26700000000000002</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1571.2941235008332</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1571.2941235008332</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26706.875983321519</v>
      </c>
      <c r="C4" s="445">
        <f>huishoudens!C8</f>
        <v>0</v>
      </c>
      <c r="D4" s="445">
        <f>huishoudens!D8</f>
        <v>81093.684011999998</v>
      </c>
      <c r="E4" s="445">
        <f>huishoudens!E8</f>
        <v>626.66761703786256</v>
      </c>
      <c r="F4" s="445">
        <f>huishoudens!F8</f>
        <v>21390.92037567584</v>
      </c>
      <c r="G4" s="445">
        <f>huishoudens!G8</f>
        <v>0</v>
      </c>
      <c r="H4" s="445">
        <f>huishoudens!H8</f>
        <v>0</v>
      </c>
      <c r="I4" s="445">
        <f>huishoudens!I8</f>
        <v>0</v>
      </c>
      <c r="J4" s="445">
        <f>huishoudens!J8</f>
        <v>481.66929473395925</v>
      </c>
      <c r="K4" s="445">
        <f>huishoudens!K8</f>
        <v>0</v>
      </c>
      <c r="L4" s="445">
        <f>huishoudens!L8</f>
        <v>0</v>
      </c>
      <c r="M4" s="445">
        <f>huishoudens!M8</f>
        <v>0</v>
      </c>
      <c r="N4" s="445">
        <f>huishoudens!N8</f>
        <v>6655.6393464296916</v>
      </c>
      <c r="O4" s="445">
        <f>huishoudens!O8</f>
        <v>46.9</v>
      </c>
      <c r="P4" s="446">
        <f>huishoudens!P8</f>
        <v>95.333333333333343</v>
      </c>
      <c r="Q4" s="447">
        <f>SUM(B4:P4)</f>
        <v>137097.6899625322</v>
      </c>
    </row>
    <row r="5" spans="1:17">
      <c r="A5" s="444" t="s">
        <v>149</v>
      </c>
      <c r="B5" s="445">
        <f ca="1">tertiair!B16</f>
        <v>33270.710499708191</v>
      </c>
      <c r="C5" s="445">
        <f ca="1">tertiair!C16</f>
        <v>0</v>
      </c>
      <c r="D5" s="445">
        <f ca="1">tertiair!D16</f>
        <v>36835.005570000001</v>
      </c>
      <c r="E5" s="445">
        <f>tertiair!E16</f>
        <v>695.74772764186332</v>
      </c>
      <c r="F5" s="445">
        <f ca="1">tertiair!F16</f>
        <v>5693.3900090796515</v>
      </c>
      <c r="G5" s="445">
        <f>tertiair!G16</f>
        <v>0</v>
      </c>
      <c r="H5" s="445">
        <f>tertiair!H16</f>
        <v>0</v>
      </c>
      <c r="I5" s="445">
        <f>tertiair!I16</f>
        <v>0</v>
      </c>
      <c r="J5" s="445">
        <f>tertiair!J16</f>
        <v>0</v>
      </c>
      <c r="K5" s="445">
        <f>tertiair!K16</f>
        <v>0</v>
      </c>
      <c r="L5" s="445">
        <f ca="1">tertiair!L16</f>
        <v>0</v>
      </c>
      <c r="M5" s="445">
        <f>tertiair!M16</f>
        <v>0</v>
      </c>
      <c r="N5" s="445">
        <f ca="1">tertiair!N16</f>
        <v>810.03173138278612</v>
      </c>
      <c r="O5" s="445">
        <f>tertiair!O16</f>
        <v>0</v>
      </c>
      <c r="P5" s="446">
        <f>tertiair!P16</f>
        <v>38.133333333333333</v>
      </c>
      <c r="Q5" s="444">
        <f t="shared" ref="Q5:Q14" ca="1" si="0">SUM(B5:P5)</f>
        <v>77343.018871145832</v>
      </c>
    </row>
    <row r="6" spans="1:17">
      <c r="A6" s="444" t="s">
        <v>187</v>
      </c>
      <c r="B6" s="445">
        <f>'openbare verlichting'!B8</f>
        <v>949.60599999999999</v>
      </c>
      <c r="C6" s="445"/>
      <c r="D6" s="445"/>
      <c r="E6" s="445"/>
      <c r="F6" s="445"/>
      <c r="G6" s="445"/>
      <c r="H6" s="445"/>
      <c r="I6" s="445"/>
      <c r="J6" s="445"/>
      <c r="K6" s="445"/>
      <c r="L6" s="445"/>
      <c r="M6" s="445"/>
      <c r="N6" s="445"/>
      <c r="O6" s="445"/>
      <c r="P6" s="446"/>
      <c r="Q6" s="444">
        <f t="shared" si="0"/>
        <v>949.60599999999999</v>
      </c>
    </row>
    <row r="7" spans="1:17">
      <c r="A7" s="444" t="s">
        <v>105</v>
      </c>
      <c r="B7" s="445">
        <f>landbouw!B8</f>
        <v>573.42082211782429</v>
      </c>
      <c r="C7" s="445">
        <f>landbouw!C8</f>
        <v>0</v>
      </c>
      <c r="D7" s="445">
        <f>landbouw!D8</f>
        <v>713.50725599999998</v>
      </c>
      <c r="E7" s="445">
        <f>landbouw!E8</f>
        <v>5.1672492141750608</v>
      </c>
      <c r="F7" s="445">
        <f>landbouw!F8</f>
        <v>2148.6253092314441</v>
      </c>
      <c r="G7" s="445">
        <f>landbouw!G8</f>
        <v>0</v>
      </c>
      <c r="H7" s="445">
        <f>landbouw!H8</f>
        <v>0</v>
      </c>
      <c r="I7" s="445">
        <f>landbouw!I8</f>
        <v>0</v>
      </c>
      <c r="J7" s="445">
        <f>landbouw!J8</f>
        <v>58.027815596026429</v>
      </c>
      <c r="K7" s="445">
        <f>landbouw!K8</f>
        <v>0</v>
      </c>
      <c r="L7" s="445">
        <f>landbouw!L8</f>
        <v>0</v>
      </c>
      <c r="M7" s="445">
        <f>landbouw!M8</f>
        <v>0</v>
      </c>
      <c r="N7" s="445">
        <f>landbouw!N8</f>
        <v>0</v>
      </c>
      <c r="O7" s="445">
        <f>landbouw!O8</f>
        <v>0</v>
      </c>
      <c r="P7" s="446">
        <f>landbouw!P8</f>
        <v>0</v>
      </c>
      <c r="Q7" s="444">
        <f t="shared" si="0"/>
        <v>3498.7484521594702</v>
      </c>
    </row>
    <row r="8" spans="1:17">
      <c r="A8" s="444" t="s">
        <v>613</v>
      </c>
      <c r="B8" s="445">
        <f>industrie!B18</f>
        <v>18554.189404335208</v>
      </c>
      <c r="C8" s="445">
        <f>industrie!C18</f>
        <v>0</v>
      </c>
      <c r="D8" s="445">
        <f>industrie!D18</f>
        <v>15038.739320000001</v>
      </c>
      <c r="E8" s="445">
        <f>industrie!E18</f>
        <v>176.76219094740833</v>
      </c>
      <c r="F8" s="445">
        <f>industrie!F18</f>
        <v>4479.2517164062092</v>
      </c>
      <c r="G8" s="445">
        <f>industrie!G18</f>
        <v>0</v>
      </c>
      <c r="H8" s="445">
        <f>industrie!H18</f>
        <v>0</v>
      </c>
      <c r="I8" s="445">
        <f>industrie!I18</f>
        <v>0</v>
      </c>
      <c r="J8" s="445">
        <f>industrie!J18</f>
        <v>138.70940931971822</v>
      </c>
      <c r="K8" s="445">
        <f>industrie!K18</f>
        <v>0</v>
      </c>
      <c r="L8" s="445">
        <f>industrie!L18</f>
        <v>0</v>
      </c>
      <c r="M8" s="445">
        <f>industrie!M18</f>
        <v>0</v>
      </c>
      <c r="N8" s="445">
        <f>industrie!N18</f>
        <v>397.47971658374297</v>
      </c>
      <c r="O8" s="445">
        <f>industrie!O18</f>
        <v>0</v>
      </c>
      <c r="P8" s="446">
        <f>industrie!P18</f>
        <v>0</v>
      </c>
      <c r="Q8" s="444">
        <f t="shared" si="0"/>
        <v>38785.131757592288</v>
      </c>
    </row>
    <row r="9" spans="1:17" s="450" customFormat="1">
      <c r="A9" s="448" t="s">
        <v>555</v>
      </c>
      <c r="B9" s="449">
        <f>transport!B14</f>
        <v>2.516944681813301</v>
      </c>
      <c r="C9" s="449">
        <f>transport!C14</f>
        <v>0</v>
      </c>
      <c r="D9" s="449">
        <f>transport!D14</f>
        <v>7.6676639483119367</v>
      </c>
      <c r="E9" s="449">
        <f>transport!E14</f>
        <v>796.43632875738342</v>
      </c>
      <c r="F9" s="449">
        <f>transport!F14</f>
        <v>0</v>
      </c>
      <c r="G9" s="449">
        <f>transport!G14</f>
        <v>222480.76963462931</v>
      </c>
      <c r="H9" s="449">
        <f>transport!H14</f>
        <v>26529.6444264651</v>
      </c>
      <c r="I9" s="449">
        <f>transport!I14</f>
        <v>0</v>
      </c>
      <c r="J9" s="449">
        <f>transport!J14</f>
        <v>0</v>
      </c>
      <c r="K9" s="449">
        <f>transport!K14</f>
        <v>0</v>
      </c>
      <c r="L9" s="449">
        <f>transport!L14</f>
        <v>0</v>
      </c>
      <c r="M9" s="449">
        <f>transport!M14</f>
        <v>10805.31649187035</v>
      </c>
      <c r="N9" s="449">
        <f>transport!N14</f>
        <v>0</v>
      </c>
      <c r="O9" s="449">
        <f>transport!O14</f>
        <v>0</v>
      </c>
      <c r="P9" s="449">
        <f>transport!P14</f>
        <v>0</v>
      </c>
      <c r="Q9" s="448">
        <f>SUM(B9:P9)</f>
        <v>260622.35149035227</v>
      </c>
    </row>
    <row r="10" spans="1:17">
      <c r="A10" s="444" t="s">
        <v>545</v>
      </c>
      <c r="B10" s="445">
        <f>transport!B54</f>
        <v>7.9182070402025131</v>
      </c>
      <c r="C10" s="445">
        <f>transport!C54</f>
        <v>0</v>
      </c>
      <c r="D10" s="445">
        <f>transport!D54</f>
        <v>0</v>
      </c>
      <c r="E10" s="445">
        <f>transport!E54</f>
        <v>0</v>
      </c>
      <c r="F10" s="445">
        <f>transport!F54</f>
        <v>0</v>
      </c>
      <c r="G10" s="445">
        <f>transport!G54</f>
        <v>1717.7755196948315</v>
      </c>
      <c r="H10" s="445">
        <f>transport!H54</f>
        <v>0</v>
      </c>
      <c r="I10" s="445">
        <f>transport!I54</f>
        <v>0</v>
      </c>
      <c r="J10" s="445">
        <f>transport!J54</f>
        <v>0</v>
      </c>
      <c r="K10" s="445">
        <f>transport!K54</f>
        <v>0</v>
      </c>
      <c r="L10" s="445">
        <f>transport!L54</f>
        <v>0</v>
      </c>
      <c r="M10" s="445">
        <f>transport!M54</f>
        <v>73.548549349787791</v>
      </c>
      <c r="N10" s="445">
        <f>transport!N54</f>
        <v>0</v>
      </c>
      <c r="O10" s="445">
        <f>transport!O54</f>
        <v>0</v>
      </c>
      <c r="P10" s="446">
        <f>transport!P54</f>
        <v>0</v>
      </c>
      <c r="Q10" s="444">
        <f t="shared" si="0"/>
        <v>1799.2422760848219</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1352.46230931682</v>
      </c>
      <c r="C14" s="452"/>
      <c r="D14" s="452">
        <f>'SEAP template'!E25</f>
        <v>2495.8560000000002</v>
      </c>
      <c r="E14" s="452"/>
      <c r="F14" s="452"/>
      <c r="G14" s="452"/>
      <c r="H14" s="452"/>
      <c r="I14" s="452"/>
      <c r="J14" s="452"/>
      <c r="K14" s="452"/>
      <c r="L14" s="452"/>
      <c r="M14" s="452"/>
      <c r="N14" s="452"/>
      <c r="O14" s="452"/>
      <c r="P14" s="453"/>
      <c r="Q14" s="444">
        <f t="shared" si="0"/>
        <v>3848.31830931682</v>
      </c>
    </row>
    <row r="15" spans="1:17" s="457" customFormat="1">
      <c r="A15" s="454" t="s">
        <v>549</v>
      </c>
      <c r="B15" s="455">
        <f ca="1">SUM(B4:B14)</f>
        <v>81417.700170521581</v>
      </c>
      <c r="C15" s="455">
        <f t="shared" ref="C15:Q15" ca="1" si="1">SUM(C4:C14)</f>
        <v>0</v>
      </c>
      <c r="D15" s="455">
        <f t="shared" ca="1" si="1"/>
        <v>136184.45982194832</v>
      </c>
      <c r="E15" s="455">
        <f t="shared" si="1"/>
        <v>2300.7811135986926</v>
      </c>
      <c r="F15" s="455">
        <f t="shared" ca="1" si="1"/>
        <v>33712.187410393148</v>
      </c>
      <c r="G15" s="455">
        <f t="shared" si="1"/>
        <v>224198.54515432415</v>
      </c>
      <c r="H15" s="455">
        <f t="shared" si="1"/>
        <v>26529.6444264651</v>
      </c>
      <c r="I15" s="455">
        <f t="shared" si="1"/>
        <v>0</v>
      </c>
      <c r="J15" s="455">
        <f t="shared" si="1"/>
        <v>678.40651964970391</v>
      </c>
      <c r="K15" s="455">
        <f t="shared" si="1"/>
        <v>0</v>
      </c>
      <c r="L15" s="455">
        <f t="shared" ca="1" si="1"/>
        <v>0</v>
      </c>
      <c r="M15" s="455">
        <f t="shared" si="1"/>
        <v>10878.865041220137</v>
      </c>
      <c r="N15" s="455">
        <f t="shared" ca="1" si="1"/>
        <v>7863.1507943962206</v>
      </c>
      <c r="O15" s="455">
        <f t="shared" si="1"/>
        <v>46.9</v>
      </c>
      <c r="P15" s="455">
        <f t="shared" si="1"/>
        <v>133.46666666666667</v>
      </c>
      <c r="Q15" s="455">
        <f t="shared" ca="1" si="1"/>
        <v>523944.1071191837</v>
      </c>
    </row>
    <row r="17" spans="1:17">
      <c r="A17" s="458" t="s">
        <v>550</v>
      </c>
      <c r="B17" s="725">
        <f ca="1">huishoudens!B10</f>
        <v>0.21673488319411641</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5788.311646724942</v>
      </c>
      <c r="C22" s="445">
        <f t="shared" ref="C22:C32" ca="1" si="3">C4*$C$17</f>
        <v>0</v>
      </c>
      <c r="D22" s="445">
        <f t="shared" ref="D22:D32" si="4">D4*$D$17</f>
        <v>16380.924170424001</v>
      </c>
      <c r="E22" s="445">
        <f t="shared" ref="E22:E32" si="5">E4*$E$17</f>
        <v>142.2535490675948</v>
      </c>
      <c r="F22" s="445">
        <f t="shared" ref="F22:F32" si="6">F4*$F$17</f>
        <v>5711.3757403054497</v>
      </c>
      <c r="G22" s="445">
        <f t="shared" ref="G22:G32" si="7">G4*$G$17</f>
        <v>0</v>
      </c>
      <c r="H22" s="445">
        <f t="shared" ref="H22:H32" si="8">H4*$H$17</f>
        <v>0</v>
      </c>
      <c r="I22" s="445">
        <f t="shared" ref="I22:I32" si="9">I4*$I$17</f>
        <v>0</v>
      </c>
      <c r="J22" s="445">
        <f t="shared" ref="J22:J32" si="10">J4*$J$17</f>
        <v>170.51093033582157</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28193.376036857811</v>
      </c>
    </row>
    <row r="23" spans="1:17">
      <c r="A23" s="444" t="s">
        <v>149</v>
      </c>
      <c r="B23" s="445">
        <f t="shared" ca="1" si="2"/>
        <v>7210.9235539395168</v>
      </c>
      <c r="C23" s="445">
        <f t="shared" ca="1" si="3"/>
        <v>0</v>
      </c>
      <c r="D23" s="445">
        <f t="shared" ca="1" si="4"/>
        <v>7440.6711251400011</v>
      </c>
      <c r="E23" s="445">
        <f t="shared" si="5"/>
        <v>157.93473417470298</v>
      </c>
      <c r="F23" s="445">
        <f t="shared" ca="1" si="6"/>
        <v>1520.1351324242671</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16329.664545678488</v>
      </c>
    </row>
    <row r="24" spans="1:17">
      <c r="A24" s="444" t="s">
        <v>187</v>
      </c>
      <c r="B24" s="445">
        <f t="shared" ca="1" si="2"/>
        <v>205.81274549043209</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205.81274549043209</v>
      </c>
    </row>
    <row r="25" spans="1:17">
      <c r="A25" s="444" t="s">
        <v>105</v>
      </c>
      <c r="B25" s="445">
        <f t="shared" ca="1" si="2"/>
        <v>124.28029490278085</v>
      </c>
      <c r="C25" s="445">
        <f t="shared" ca="1" si="3"/>
        <v>0</v>
      </c>
      <c r="D25" s="445">
        <f t="shared" si="4"/>
        <v>144.12846571200001</v>
      </c>
      <c r="E25" s="445">
        <f t="shared" si="5"/>
        <v>1.1729655716177387</v>
      </c>
      <c r="F25" s="445">
        <f t="shared" si="6"/>
        <v>573.68295756479563</v>
      </c>
      <c r="G25" s="445">
        <f t="shared" si="7"/>
        <v>0</v>
      </c>
      <c r="H25" s="445">
        <f t="shared" si="8"/>
        <v>0</v>
      </c>
      <c r="I25" s="445">
        <f t="shared" si="9"/>
        <v>0</v>
      </c>
      <c r="J25" s="445">
        <f t="shared" si="10"/>
        <v>20.541846720993355</v>
      </c>
      <c r="K25" s="445">
        <f t="shared" si="11"/>
        <v>0</v>
      </c>
      <c r="L25" s="445">
        <f t="shared" si="12"/>
        <v>0</v>
      </c>
      <c r="M25" s="445">
        <f t="shared" si="13"/>
        <v>0</v>
      </c>
      <c r="N25" s="445">
        <f t="shared" si="14"/>
        <v>0</v>
      </c>
      <c r="O25" s="445">
        <f t="shared" si="15"/>
        <v>0</v>
      </c>
      <c r="P25" s="446">
        <f t="shared" si="16"/>
        <v>0</v>
      </c>
      <c r="Q25" s="444">
        <f t="shared" ca="1" si="17"/>
        <v>863.80653047218766</v>
      </c>
    </row>
    <row r="26" spans="1:17">
      <c r="A26" s="444" t="s">
        <v>613</v>
      </c>
      <c r="B26" s="445">
        <f t="shared" ca="1" si="2"/>
        <v>4021.3400733101034</v>
      </c>
      <c r="C26" s="445">
        <f t="shared" ca="1" si="3"/>
        <v>0</v>
      </c>
      <c r="D26" s="445">
        <f t="shared" si="4"/>
        <v>3037.8253426400001</v>
      </c>
      <c r="E26" s="445">
        <f t="shared" si="5"/>
        <v>40.125017345061693</v>
      </c>
      <c r="F26" s="445">
        <f t="shared" si="6"/>
        <v>1195.9602082804579</v>
      </c>
      <c r="G26" s="445">
        <f t="shared" si="7"/>
        <v>0</v>
      </c>
      <c r="H26" s="445">
        <f t="shared" si="8"/>
        <v>0</v>
      </c>
      <c r="I26" s="445">
        <f t="shared" si="9"/>
        <v>0</v>
      </c>
      <c r="J26" s="445">
        <f t="shared" si="10"/>
        <v>49.10313089918025</v>
      </c>
      <c r="K26" s="445">
        <f t="shared" si="11"/>
        <v>0</v>
      </c>
      <c r="L26" s="445">
        <f t="shared" si="12"/>
        <v>0</v>
      </c>
      <c r="M26" s="445">
        <f t="shared" si="13"/>
        <v>0</v>
      </c>
      <c r="N26" s="445">
        <f t="shared" si="14"/>
        <v>0</v>
      </c>
      <c r="O26" s="445">
        <f t="shared" si="15"/>
        <v>0</v>
      </c>
      <c r="P26" s="446">
        <f t="shared" si="16"/>
        <v>0</v>
      </c>
      <c r="Q26" s="444">
        <f t="shared" ca="1" si="17"/>
        <v>8344.3537724748039</v>
      </c>
    </row>
    <row r="27" spans="1:17" s="450" customFormat="1">
      <c r="A27" s="448" t="s">
        <v>555</v>
      </c>
      <c r="B27" s="719">
        <f t="shared" ca="1" si="2"/>
        <v>0.54550971161885831</v>
      </c>
      <c r="C27" s="449">
        <f t="shared" ca="1" si="3"/>
        <v>0</v>
      </c>
      <c r="D27" s="449">
        <f t="shared" si="4"/>
        <v>1.5488681175590113</v>
      </c>
      <c r="E27" s="449">
        <f t="shared" si="5"/>
        <v>180.79104662792605</v>
      </c>
      <c r="F27" s="449">
        <f t="shared" si="6"/>
        <v>0</v>
      </c>
      <c r="G27" s="449">
        <f t="shared" si="7"/>
        <v>59402.365492446028</v>
      </c>
      <c r="H27" s="449">
        <f t="shared" si="8"/>
        <v>6605.88146218981</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66191.132379092945</v>
      </c>
    </row>
    <row r="28" spans="1:17">
      <c r="A28" s="444" t="s">
        <v>545</v>
      </c>
      <c r="B28" s="445">
        <f t="shared" ca="1" si="2"/>
        <v>1.7161516779651218</v>
      </c>
      <c r="C28" s="445">
        <f t="shared" ca="1" si="3"/>
        <v>0</v>
      </c>
      <c r="D28" s="445">
        <f t="shared" si="4"/>
        <v>0</v>
      </c>
      <c r="E28" s="445">
        <f t="shared" si="5"/>
        <v>0</v>
      </c>
      <c r="F28" s="445">
        <f t="shared" si="6"/>
        <v>0</v>
      </c>
      <c r="G28" s="445">
        <f t="shared" si="7"/>
        <v>458.64606375852003</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460.36221543648514</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293.12576063422591</v>
      </c>
      <c r="C32" s="445">
        <f t="shared" ca="1" si="3"/>
        <v>0</v>
      </c>
      <c r="D32" s="445">
        <f t="shared" si="4"/>
        <v>504.16291200000006</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797.28867263422603</v>
      </c>
    </row>
    <row r="33" spans="1:17" s="457" customFormat="1">
      <c r="A33" s="454" t="s">
        <v>549</v>
      </c>
      <c r="B33" s="455">
        <f ca="1">SUM(B22:B32)</f>
        <v>17646.05573639158</v>
      </c>
      <c r="C33" s="455">
        <f t="shared" ref="C33:Q33" ca="1" si="19">SUM(C22:C32)</f>
        <v>0</v>
      </c>
      <c r="D33" s="455">
        <f t="shared" ca="1" si="19"/>
        <v>27509.260884033563</v>
      </c>
      <c r="E33" s="455">
        <f t="shared" si="19"/>
        <v>522.27731278690317</v>
      </c>
      <c r="F33" s="455">
        <f t="shared" ca="1" si="19"/>
        <v>9001.1540385749704</v>
      </c>
      <c r="G33" s="455">
        <f t="shared" si="19"/>
        <v>59861.011556204547</v>
      </c>
      <c r="H33" s="455">
        <f t="shared" si="19"/>
        <v>6605.88146218981</v>
      </c>
      <c r="I33" s="455">
        <f t="shared" si="19"/>
        <v>0</v>
      </c>
      <c r="J33" s="455">
        <f t="shared" si="19"/>
        <v>240.15590795599519</v>
      </c>
      <c r="K33" s="455">
        <f t="shared" si="19"/>
        <v>0</v>
      </c>
      <c r="L33" s="455">
        <f t="shared" ca="1" si="19"/>
        <v>0</v>
      </c>
      <c r="M33" s="455">
        <f t="shared" si="19"/>
        <v>0</v>
      </c>
      <c r="N33" s="455">
        <f t="shared" ca="1" si="19"/>
        <v>0</v>
      </c>
      <c r="O33" s="455">
        <f t="shared" si="19"/>
        <v>0</v>
      </c>
      <c r="P33" s="455">
        <f t="shared" si="19"/>
        <v>0</v>
      </c>
      <c r="Q33" s="455">
        <f t="shared" ca="1" si="19"/>
        <v>121385.79689813739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1571.2941235008332</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1571.2941235008332</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0.21673488319411641</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0.21673488319411641</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2022-07-26T12:41:53Z</dcterms:modified>
</cp:coreProperties>
</file>